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6440" activeTab="1"/>
  </bookViews>
  <sheets>
    <sheet name="Net Income Estimation" sheetId="1" r:id="rId1"/>
    <sheet name="Industry Stats" sheetId="2" r:id="rId2"/>
  </sheets>
  <calcPr calcId="125725"/>
</workbook>
</file>

<file path=xl/calcChain.xml><?xml version="1.0" encoding="utf-8"?>
<calcChain xmlns="http://schemas.openxmlformats.org/spreadsheetml/2006/main">
  <c r="E23" i="2"/>
  <c r="D23"/>
  <c r="C23"/>
  <c r="B23"/>
  <c r="F23" s="1"/>
  <c r="E22"/>
  <c r="D22"/>
  <c r="C22"/>
  <c r="B22"/>
  <c r="F22" s="1"/>
  <c r="E21"/>
  <c r="D21"/>
  <c r="C21"/>
  <c r="B21"/>
  <c r="F21" s="1"/>
  <c r="E20"/>
  <c r="D20"/>
  <c r="C20"/>
  <c r="B20"/>
  <c r="F20" s="1"/>
  <c r="H19"/>
  <c r="G19"/>
  <c r="E19"/>
  <c r="D19"/>
  <c r="C19"/>
  <c r="B19"/>
  <c r="E13"/>
  <c r="D13"/>
  <c r="C13"/>
  <c r="B13"/>
  <c r="F11"/>
  <c r="F13" s="1"/>
  <c r="F19" s="1"/>
  <c r="F9"/>
  <c r="F7"/>
  <c r="F6"/>
  <c r="F5"/>
  <c r="M4"/>
  <c r="L4"/>
  <c r="K4"/>
  <c r="J4"/>
  <c r="M3"/>
  <c r="L3"/>
  <c r="K3"/>
  <c r="J3"/>
  <c r="F3"/>
  <c r="G26" i="1"/>
  <c r="F26"/>
  <c r="J22"/>
  <c r="K22" s="1"/>
  <c r="I22"/>
  <c r="I26" s="1"/>
  <c r="H22"/>
  <c r="H26" s="1"/>
  <c r="G22"/>
  <c r="G29" s="1"/>
  <c r="F22"/>
  <c r="F29" s="1"/>
  <c r="R21"/>
  <c r="O21"/>
  <c r="N21"/>
  <c r="M21"/>
  <c r="L21"/>
  <c r="K21"/>
  <c r="J21"/>
  <c r="I21"/>
  <c r="H21"/>
  <c r="G21"/>
  <c r="O20"/>
  <c r="P20" s="1"/>
  <c r="N20"/>
  <c r="M20"/>
  <c r="L20"/>
  <c r="K20"/>
  <c r="J20"/>
  <c r="I20"/>
  <c r="H20"/>
  <c r="G20"/>
  <c r="F20"/>
  <c r="G7"/>
  <c r="H7" s="1"/>
  <c r="F7"/>
  <c r="F11" s="1"/>
  <c r="O6"/>
  <c r="N6"/>
  <c r="M6"/>
  <c r="L6"/>
  <c r="K6"/>
  <c r="J6"/>
  <c r="I6"/>
  <c r="H6"/>
  <c r="G6"/>
  <c r="I7" l="1"/>
  <c r="H11"/>
  <c r="H14"/>
  <c r="H10"/>
  <c r="H9"/>
  <c r="H13"/>
  <c r="H8"/>
  <c r="H12" s="1"/>
  <c r="H15" s="1"/>
  <c r="H16" s="1"/>
  <c r="L22"/>
  <c r="K26"/>
  <c r="K29"/>
  <c r="K25"/>
  <c r="K28"/>
  <c r="K24"/>
  <c r="K23"/>
  <c r="K27" s="1"/>
  <c r="K30" s="1"/>
  <c r="K31" s="1"/>
  <c r="I27"/>
  <c r="I30" s="1"/>
  <c r="I31" s="1"/>
  <c r="G8"/>
  <c r="J23"/>
  <c r="F8"/>
  <c r="I23"/>
  <c r="G13"/>
  <c r="H23"/>
  <c r="F27"/>
  <c r="F30" s="1"/>
  <c r="G9"/>
  <c r="G12" s="1"/>
  <c r="G15" s="1"/>
  <c r="G16" s="1"/>
  <c r="F13"/>
  <c r="G23"/>
  <c r="G27" s="1"/>
  <c r="G30" s="1"/>
  <c r="G31" s="1"/>
  <c r="J24"/>
  <c r="J27" s="1"/>
  <c r="J30" s="1"/>
  <c r="J31" s="1"/>
  <c r="J28"/>
  <c r="F9"/>
  <c r="F23"/>
  <c r="I24"/>
  <c r="I28"/>
  <c r="C9"/>
  <c r="R22"/>
  <c r="H24"/>
  <c r="H28"/>
  <c r="G10"/>
  <c r="G24"/>
  <c r="J25"/>
  <c r="G28"/>
  <c r="F10"/>
  <c r="F12" s="1"/>
  <c r="F15" s="1"/>
  <c r="G14"/>
  <c r="F24"/>
  <c r="I25"/>
  <c r="F28"/>
  <c r="J29"/>
  <c r="F14"/>
  <c r="C24"/>
  <c r="H25"/>
  <c r="H27" s="1"/>
  <c r="H30" s="1"/>
  <c r="H31" s="1"/>
  <c r="I29"/>
  <c r="G11"/>
  <c r="G25"/>
  <c r="J26"/>
  <c r="H29"/>
  <c r="F25"/>
  <c r="F16" l="1"/>
  <c r="R24"/>
  <c r="R29" s="1"/>
  <c r="R28"/>
  <c r="C10"/>
  <c r="C11" s="1"/>
  <c r="M22"/>
  <c r="L26"/>
  <c r="L29"/>
  <c r="L25"/>
  <c r="L28"/>
  <c r="L24"/>
  <c r="L23"/>
  <c r="L27" s="1"/>
  <c r="L30" s="1"/>
  <c r="F31"/>
  <c r="C25"/>
  <c r="C26" s="1"/>
  <c r="R23"/>
  <c r="R25"/>
  <c r="J7"/>
  <c r="I11"/>
  <c r="I14"/>
  <c r="I10"/>
  <c r="I9"/>
  <c r="I13"/>
  <c r="I8"/>
  <c r="I12" s="1"/>
  <c r="I15" s="1"/>
  <c r="R7"/>
  <c r="I16" l="1"/>
  <c r="L31"/>
  <c r="R14"/>
  <c r="R10"/>
  <c r="R9"/>
  <c r="N22"/>
  <c r="M26"/>
  <c r="M29"/>
  <c r="M25"/>
  <c r="M28"/>
  <c r="M24"/>
  <c r="M23"/>
  <c r="M27" s="1"/>
  <c r="M30" s="1"/>
  <c r="J12"/>
  <c r="J15" s="1"/>
  <c r="J16" s="1"/>
  <c r="K7"/>
  <c r="J11"/>
  <c r="J14"/>
  <c r="J10"/>
  <c r="J8"/>
  <c r="J9"/>
  <c r="J13"/>
  <c r="R8"/>
  <c r="M31" l="1"/>
  <c r="N27"/>
  <c r="N30" s="1"/>
  <c r="N31" s="1"/>
  <c r="O22"/>
  <c r="N26"/>
  <c r="N29"/>
  <c r="N25"/>
  <c r="N23"/>
  <c r="N24"/>
  <c r="N28"/>
  <c r="L7"/>
  <c r="K11"/>
  <c r="K14"/>
  <c r="K10"/>
  <c r="K9"/>
  <c r="K13"/>
  <c r="K8"/>
  <c r="P22"/>
  <c r="R11"/>
  <c r="R15" s="1"/>
  <c r="P29" l="1"/>
  <c r="O23"/>
  <c r="P23" s="1"/>
  <c r="P27" s="1"/>
  <c r="O26"/>
  <c r="P26" s="1"/>
  <c r="O29"/>
  <c r="O25"/>
  <c r="P25" s="1"/>
  <c r="O28"/>
  <c r="P28" s="1"/>
  <c r="O24"/>
  <c r="P24" s="1"/>
  <c r="L8"/>
  <c r="M7"/>
  <c r="L11"/>
  <c r="L14"/>
  <c r="L10"/>
  <c r="L9"/>
  <c r="L12" s="1"/>
  <c r="L15" s="1"/>
  <c r="L16" s="1"/>
  <c r="L13"/>
  <c r="K12"/>
  <c r="K15" s="1"/>
  <c r="M8" l="1"/>
  <c r="N7"/>
  <c r="M11"/>
  <c r="M14"/>
  <c r="M10"/>
  <c r="M13"/>
  <c r="M9"/>
  <c r="K16"/>
  <c r="O27"/>
  <c r="O30" s="1"/>
  <c r="P7" l="1"/>
  <c r="O31"/>
  <c r="P30"/>
  <c r="P31" s="1"/>
  <c r="M12"/>
  <c r="M15" s="1"/>
  <c r="N13"/>
  <c r="N8"/>
  <c r="N12" s="1"/>
  <c r="N15" s="1"/>
  <c r="N16" s="1"/>
  <c r="O7"/>
  <c r="N11"/>
  <c r="N14"/>
  <c r="N10"/>
  <c r="N9"/>
  <c r="P14" l="1"/>
  <c r="M16"/>
  <c r="O9"/>
  <c r="P9" s="1"/>
  <c r="P12" s="1"/>
  <c r="O13"/>
  <c r="P13" s="1"/>
  <c r="O8"/>
  <c r="P8" s="1"/>
  <c r="O11"/>
  <c r="P11" s="1"/>
  <c r="O14"/>
  <c r="O10"/>
  <c r="P10" s="1"/>
  <c r="O12" l="1"/>
  <c r="O15" s="1"/>
  <c r="O16" l="1"/>
  <c r="P15"/>
  <c r="P16" s="1"/>
</calcChain>
</file>

<file path=xl/sharedStrings.xml><?xml version="1.0" encoding="utf-8"?>
<sst xmlns="http://schemas.openxmlformats.org/spreadsheetml/2006/main" count="98" uniqueCount="72">
  <si>
    <t>Enter your business's info below:</t>
  </si>
  <si>
    <t>Please Make A Copy of This Sheet if You Wish to Alter Any Cells. Figures Are Autogenerated Using Values From IBIS World and Boxes B2 through B4</t>
  </si>
  <si>
    <t>Year 1 Trucks</t>
  </si>
  <si>
    <t>New Trucks Each Year</t>
  </si>
  <si>
    <t>Desired Revenue</t>
  </si>
  <si>
    <t>Solo</t>
  </si>
  <si>
    <t>First Year</t>
  </si>
  <si>
    <t>Second Year</t>
  </si>
  <si>
    <t>3rd Year</t>
  </si>
  <si>
    <t>4th Year</t>
  </si>
  <si>
    <t>5th Year</t>
  </si>
  <si>
    <t>6th Year</t>
  </si>
  <si>
    <t>7th Year</t>
  </si>
  <si>
    <t>8th Year</t>
  </si>
  <si>
    <t>9th Year</t>
  </si>
  <si>
    <t>10th Year</t>
  </si>
  <si>
    <t>Total over 10 years</t>
  </si>
  <si>
    <t>Solo 5 Years Real Expenses</t>
  </si>
  <si>
    <t>Revenue</t>
  </si>
  <si>
    <t>Solo Year 1</t>
  </si>
  <si>
    <t>Purchases</t>
  </si>
  <si>
    <t>Wages</t>
  </si>
  <si>
    <t>Cash Expenses</t>
  </si>
  <si>
    <t>Marketing</t>
  </si>
  <si>
    <t>Owners Income (Wage+Depreciation+Profit)</t>
  </si>
  <si>
    <t>Rent</t>
  </si>
  <si>
    <t>Operational Profits</t>
  </si>
  <si>
    <t>Depreciation</t>
  </si>
  <si>
    <t>Miscellaneous</t>
  </si>
  <si>
    <t>Profits</t>
  </si>
  <si>
    <t>Percent Profit</t>
  </si>
  <si>
    <t>Multi-Trucks</t>
  </si>
  <si>
    <t>Number of Trucks</t>
  </si>
  <si>
    <t>Multi-Truck 5 Years Real Expenses</t>
  </si>
  <si>
    <t>Expected Owner’s Income Multi-Truck Year 1</t>
  </si>
  <si>
    <t>Owners Income (1 Driver Wage+Depreciation+Profit)</t>
  </si>
  <si>
    <t>NAICS Code</t>
  </si>
  <si>
    <t>Combined</t>
  </si>
  <si>
    <t>Best in Class</t>
  </si>
  <si>
    <t>The data below is for reference only. Careful—deleting it will alter the Net Income Estimation (the first sheet in this workbook).</t>
  </si>
  <si>
    <t>Type of Trucking</t>
  </si>
  <si>
    <t>Local Freight</t>
  </si>
  <si>
    <t>Long Distance Freight</t>
  </si>
  <si>
    <t>Local Specialized Freight</t>
  </si>
  <si>
    <t>Couriers and Delivery</t>
  </si>
  <si>
    <t>4 Major NAICS Codes</t>
  </si>
  <si>
    <t>Long Distance</t>
  </si>
  <si>
    <t>Local Specialized</t>
  </si>
  <si>
    <t>Revenue (billions)</t>
  </si>
  <si>
    <t>Revenue Long Format</t>
  </si>
  <si>
    <t xml:space="preserve">Expected CAGR </t>
  </si>
  <si>
    <t>Revenue Per Business Long Format</t>
  </si>
  <si>
    <t>Profit (billions)</t>
  </si>
  <si>
    <t>Profit Margin</t>
  </si>
  <si>
    <t>Number of Businesses</t>
  </si>
  <si>
    <t>Expected Businesses CAGR</t>
  </si>
  <si>
    <t>Number of Employees</t>
  </si>
  <si>
    <t>Expected Employment CAGR</t>
  </si>
  <si>
    <t>Wages (billions)</t>
  </si>
  <si>
    <t>Expected Wage CAGR</t>
  </si>
  <si>
    <t>Wages/Revenue</t>
  </si>
  <si>
    <t>Purchases/Revenue</t>
  </si>
  <si>
    <t>Marketing/Revenue</t>
  </si>
  <si>
    <t>Depreciation/Revenue</t>
  </si>
  <si>
    <t>Rent/Revenue</t>
  </si>
  <si>
    <t>Best In Class Net Income Margin</t>
  </si>
  <si>
    <t>Other Costs/Revenue</t>
  </si>
  <si>
    <t>Total Expenses/Revenue</t>
  </si>
  <si>
    <t>Expected Revenue in 2028 (In Billions)</t>
  </si>
  <si>
    <t>Expected Number of Businesses in 2028</t>
  </si>
  <si>
    <t>Expected Number of Employees 2028</t>
  </si>
  <si>
    <t>Expected Wages in 2028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</si>
</sst>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164" formatCode="&quot;$&quot;#,##0"/>
    <numFmt numFmtId="165" formatCode="&quot; &quot;&quot;$&quot;* #,##0.00&quot; &quot;;&quot; &quot;&quot;$&quot;* \(#,##0.00\);&quot; &quot;&quot;$&quot;* &quot;-&quot;??&quot; &quot;"/>
    <numFmt numFmtId="166" formatCode="&quot;$&quot;#,##0.00"/>
    <numFmt numFmtId="167" formatCode="&quot; &quot;* #,##0.00&quot; &quot;;&quot; &quot;* \(#,##0.00\);&quot; &quot;* &quot;-&quot;??&quot; &quot;"/>
  </numFmts>
  <fonts count="5">
    <font>
      <sz val="10"/>
      <color indexed="8"/>
      <name val="Arial"/>
    </font>
    <font>
      <b/>
      <sz val="10"/>
      <color indexed="8"/>
      <name val="Arial"/>
    </font>
    <font>
      <b/>
      <sz val="18"/>
      <color indexed="8"/>
      <name val="Arial"/>
    </font>
    <font>
      <sz val="10"/>
      <color indexed="13"/>
      <name val="Arial"/>
    </font>
    <font>
      <b/>
      <sz val="10"/>
      <color indexed="13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4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1"/>
      </right>
      <top style="thin">
        <color indexed="10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 style="thin">
        <color indexed="11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 style="thin">
        <color indexed="11"/>
      </right>
      <top/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0"/>
      </right>
      <top style="thin">
        <color indexed="13"/>
      </top>
      <bottom/>
      <diagonal/>
    </border>
    <border>
      <left/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6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49" fontId="3" fillId="4" borderId="10" xfId="0" applyNumberFormat="1" applyFont="1" applyFill="1" applyBorder="1" applyAlignment="1">
      <alignment vertical="center"/>
    </xf>
    <xf numFmtId="0" fontId="0" fillId="5" borderId="10" xfId="0" applyNumberFormat="1" applyFont="1" applyFill="1" applyBorder="1" applyAlignment="1">
      <alignment vertical="center"/>
    </xf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164" fontId="0" fillId="5" borderId="10" xfId="0" applyNumberFormat="1" applyFont="1" applyFill="1" applyBorder="1" applyAlignment="1">
      <alignment vertical="center"/>
    </xf>
    <xf numFmtId="0" fontId="0" fillId="0" borderId="19" xfId="0" applyFont="1" applyBorder="1" applyAlignment="1"/>
    <xf numFmtId="0" fontId="0" fillId="0" borderId="20" xfId="0" applyFont="1" applyBorder="1" applyAlignment="1"/>
    <xf numFmtId="49" fontId="4" fillId="4" borderId="21" xfId="0" applyNumberFormat="1" applyFont="1" applyFill="1" applyBorder="1" applyAlignment="1"/>
    <xf numFmtId="49" fontId="0" fillId="0" borderId="21" xfId="0" applyNumberFormat="1" applyFont="1" applyBorder="1" applyAlignment="1"/>
    <xf numFmtId="0" fontId="0" fillId="0" borderId="22" xfId="0" applyFont="1" applyBorder="1" applyAlignment="1"/>
    <xf numFmtId="0" fontId="4" fillId="4" borderId="21" xfId="0" applyFont="1" applyFill="1" applyBorder="1" applyAlignment="1"/>
    <xf numFmtId="0" fontId="0" fillId="0" borderId="21" xfId="0" applyNumberFormat="1" applyFont="1" applyBorder="1" applyAlignment="1"/>
    <xf numFmtId="0" fontId="0" fillId="0" borderId="21" xfId="0" applyFont="1" applyBorder="1" applyAlignment="1"/>
    <xf numFmtId="49" fontId="1" fillId="0" borderId="15" xfId="0" applyNumberFormat="1" applyFont="1" applyBorder="1" applyAlignment="1">
      <alignment horizontal="center"/>
    </xf>
    <xf numFmtId="165" fontId="0" fillId="0" borderId="21" xfId="0" applyNumberFormat="1" applyFont="1" applyBorder="1" applyAlignment="1"/>
    <xf numFmtId="165" fontId="0" fillId="5" borderId="23" xfId="0" applyNumberFormat="1" applyFont="1" applyFill="1" applyBorder="1" applyAlignment="1"/>
    <xf numFmtId="49" fontId="3" fillId="4" borderId="21" xfId="0" applyNumberFormat="1" applyFont="1" applyFill="1" applyBorder="1" applyAlignment="1"/>
    <xf numFmtId="0" fontId="0" fillId="0" borderId="25" xfId="0" applyFont="1" applyBorder="1" applyAlignment="1"/>
    <xf numFmtId="165" fontId="0" fillId="5" borderId="26" xfId="0" applyNumberFormat="1" applyFont="1" applyFill="1" applyBorder="1" applyAlignment="1"/>
    <xf numFmtId="49" fontId="0" fillId="0" borderId="27" xfId="0" applyNumberFormat="1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0" fillId="5" borderId="26" xfId="0" applyFont="1" applyFill="1" applyBorder="1" applyAlignment="1"/>
    <xf numFmtId="166" fontId="0" fillId="5" borderId="26" xfId="0" applyNumberFormat="1" applyFont="1" applyFill="1" applyBorder="1" applyAlignment="1"/>
    <xf numFmtId="10" fontId="0" fillId="0" borderId="21" xfId="0" applyNumberFormat="1" applyFont="1" applyBorder="1" applyAlignment="1"/>
    <xf numFmtId="0" fontId="0" fillId="0" borderId="30" xfId="0" applyFont="1" applyBorder="1" applyAlignment="1"/>
    <xf numFmtId="49" fontId="1" fillId="0" borderId="23" xfId="0" applyNumberFormat="1" applyFont="1" applyBorder="1" applyAlignment="1">
      <alignment horizontal="center"/>
    </xf>
    <xf numFmtId="0" fontId="3" fillId="4" borderId="21" xfId="0" applyFont="1" applyFill="1" applyBorder="1" applyAlignment="1"/>
    <xf numFmtId="165" fontId="0" fillId="0" borderId="31" xfId="0" applyNumberFormat="1" applyFont="1" applyBorder="1" applyAlignment="1"/>
    <xf numFmtId="164" fontId="0" fillId="0" borderId="21" xfId="0" applyNumberFormat="1" applyFont="1" applyBorder="1" applyAlignment="1"/>
    <xf numFmtId="5" fontId="0" fillId="5" borderId="26" xfId="0" applyNumberFormat="1" applyFont="1" applyFill="1" applyBorder="1" applyAlignment="1"/>
    <xf numFmtId="164" fontId="0" fillId="5" borderId="26" xfId="0" applyNumberFormat="1" applyFont="1" applyFill="1" applyBorder="1" applyAlignment="1"/>
    <xf numFmtId="166" fontId="0" fillId="0" borderId="30" xfId="0" applyNumberFormat="1" applyFont="1" applyBorder="1" applyAlignment="1"/>
    <xf numFmtId="164" fontId="0" fillId="0" borderId="14" xfId="0" applyNumberFormat="1" applyFont="1" applyBorder="1" applyAlignment="1"/>
    <xf numFmtId="0" fontId="0" fillId="0" borderId="32" xfId="0" applyFont="1" applyBorder="1" applyAlignment="1"/>
    <xf numFmtId="0" fontId="0" fillId="0" borderId="33" xfId="0" applyFont="1" applyBorder="1" applyAlignment="1"/>
    <xf numFmtId="165" fontId="0" fillId="0" borderId="33" xfId="0" applyNumberFormat="1" applyFont="1" applyBorder="1" applyAlignment="1"/>
    <xf numFmtId="0" fontId="0" fillId="0" borderId="34" xfId="0" applyFont="1" applyBorder="1" applyAlignment="1"/>
    <xf numFmtId="0" fontId="0" fillId="0" borderId="0" xfId="0" applyNumberFormat="1" applyFont="1" applyAlignment="1"/>
    <xf numFmtId="49" fontId="1" fillId="2" borderId="10" xfId="0" applyNumberFormat="1" applyFont="1" applyFill="1" applyBorder="1" applyAlignment="1">
      <alignment horizontal="center" vertical="center" wrapText="1"/>
    </xf>
    <xf numFmtId="0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/>
    </xf>
    <xf numFmtId="49" fontId="0" fillId="5" borderId="10" xfId="0" applyNumberFormat="1" applyFont="1" applyFill="1" applyBorder="1" applyAlignment="1">
      <alignment horizontal="center" vertical="center"/>
    </xf>
    <xf numFmtId="0" fontId="0" fillId="0" borderId="35" xfId="0" applyFont="1" applyBorder="1" applyAlignment="1"/>
    <xf numFmtId="49" fontId="4" fillId="8" borderId="10" xfId="0" applyNumberFormat="1" applyFont="1" applyFill="1" applyBorder="1" applyAlignment="1">
      <alignment vertical="top" wrapText="1"/>
    </xf>
    <xf numFmtId="49" fontId="0" fillId="6" borderId="10" xfId="0" applyNumberFormat="1" applyFont="1" applyFill="1" applyBorder="1" applyAlignment="1">
      <alignment horizontal="center" vertical="top" wrapText="1"/>
    </xf>
    <xf numFmtId="49" fontId="0" fillId="5" borderId="10" xfId="0" applyNumberFormat="1" applyFont="1" applyFill="1" applyBorder="1" applyAlignment="1">
      <alignment horizontal="center" vertical="top" wrapText="1"/>
    </xf>
    <xf numFmtId="0" fontId="0" fillId="5" borderId="10" xfId="0" applyFont="1" applyFill="1" applyBorder="1" applyAlignment="1"/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166" fontId="0" fillId="6" borderId="10" xfId="0" applyNumberFormat="1" applyFont="1" applyFill="1" applyBorder="1" applyAlignment="1">
      <alignment vertical="top"/>
    </xf>
    <xf numFmtId="166" fontId="0" fillId="5" borderId="10" xfId="0" applyNumberFormat="1" applyFont="1" applyFill="1" applyBorder="1" applyAlignment="1">
      <alignment vertical="top"/>
    </xf>
    <xf numFmtId="49" fontId="0" fillId="0" borderId="38" xfId="0" applyNumberFormat="1" applyFont="1" applyBorder="1" applyAlignment="1"/>
    <xf numFmtId="166" fontId="0" fillId="9" borderId="10" xfId="0" applyNumberFormat="1" applyFont="1" applyFill="1" applyBorder="1" applyAlignment="1"/>
    <xf numFmtId="10" fontId="0" fillId="6" borderId="10" xfId="0" applyNumberFormat="1" applyFont="1" applyFill="1" applyBorder="1" applyAlignment="1">
      <alignment vertical="top"/>
    </xf>
    <xf numFmtId="10" fontId="0" fillId="5" borderId="10" xfId="0" applyNumberFormat="1" applyFont="1" applyFill="1" applyBorder="1" applyAlignment="1">
      <alignment vertical="top"/>
    </xf>
    <xf numFmtId="0" fontId="0" fillId="0" borderId="39" xfId="0" applyFont="1" applyBorder="1" applyAlignment="1"/>
    <xf numFmtId="3" fontId="0" fillId="6" borderId="10" xfId="0" applyNumberFormat="1" applyFont="1" applyFill="1" applyBorder="1" applyAlignment="1">
      <alignment vertical="top"/>
    </xf>
    <xf numFmtId="0" fontId="0" fillId="5" borderId="10" xfId="0" applyNumberFormat="1" applyFont="1" applyFill="1" applyBorder="1" applyAlignment="1">
      <alignment vertical="top"/>
    </xf>
    <xf numFmtId="0" fontId="0" fillId="6" borderId="10" xfId="0" applyNumberFormat="1" applyFont="1" applyFill="1" applyBorder="1" applyAlignment="1">
      <alignment vertical="top"/>
    </xf>
    <xf numFmtId="3" fontId="0" fillId="5" borderId="10" xfId="0" applyNumberFormat="1" applyFont="1" applyFill="1" applyBorder="1" applyAlignment="1">
      <alignment vertical="top"/>
    </xf>
    <xf numFmtId="10" fontId="0" fillId="5" borderId="10" xfId="0" applyNumberFormat="1" applyFont="1" applyFill="1" applyBorder="1" applyAlignment="1"/>
    <xf numFmtId="49" fontId="4" fillId="8" borderId="10" xfId="0" applyNumberFormat="1" applyFont="1" applyFill="1" applyBorder="1" applyAlignment="1">
      <alignment wrapText="1"/>
    </xf>
    <xf numFmtId="10" fontId="0" fillId="0" borderId="10" xfId="0" applyNumberFormat="1" applyFont="1" applyBorder="1" applyAlignment="1"/>
    <xf numFmtId="9" fontId="0" fillId="0" borderId="10" xfId="0" applyNumberFormat="1" applyFont="1" applyBorder="1" applyAlignment="1"/>
    <xf numFmtId="9" fontId="0" fillId="5" borderId="10" xfId="0" applyNumberFormat="1" applyFont="1" applyFill="1" applyBorder="1" applyAlignment="1"/>
    <xf numFmtId="10" fontId="1" fillId="5" borderId="10" xfId="0" applyNumberFormat="1" applyFont="1" applyFill="1" applyBorder="1" applyAlignment="1"/>
    <xf numFmtId="10" fontId="1" fillId="0" borderId="10" xfId="0" applyNumberFormat="1" applyFont="1" applyBorder="1" applyAlignment="1"/>
    <xf numFmtId="49" fontId="0" fillId="6" borderId="41" xfId="0" applyNumberFormat="1" applyFont="1" applyFill="1" applyBorder="1" applyAlignment="1">
      <alignment horizontal="left" vertical="center" wrapText="1"/>
    </xf>
    <xf numFmtId="166" fontId="0" fillId="0" borderId="10" xfId="0" applyNumberFormat="1" applyFont="1" applyBorder="1" applyAlignment="1"/>
    <xf numFmtId="166" fontId="0" fillId="5" borderId="10" xfId="0" applyNumberFormat="1" applyFont="1" applyFill="1" applyBorder="1" applyAlignment="1"/>
    <xf numFmtId="0" fontId="0" fillId="0" borderId="42" xfId="0" applyFont="1" applyBorder="1" applyAlignment="1"/>
    <xf numFmtId="49" fontId="0" fillId="6" borderId="43" xfId="0" applyNumberFormat="1" applyFont="1" applyFill="1" applyBorder="1" applyAlignment="1">
      <alignment vertical="center" wrapText="1"/>
    </xf>
    <xf numFmtId="167" fontId="0" fillId="0" borderId="10" xfId="0" applyNumberFormat="1" applyFont="1" applyBorder="1" applyAlignment="1"/>
    <xf numFmtId="0" fontId="0" fillId="0" borderId="10" xfId="0" applyNumberFormat="1" applyFont="1" applyBorder="1" applyAlignment="1"/>
    <xf numFmtId="49" fontId="0" fillId="6" borderId="43" xfId="0" applyNumberFormat="1" applyFont="1" applyFill="1" applyBorder="1" applyAlignment="1">
      <alignment horizontal="left" vertical="center" wrapText="1"/>
    </xf>
    <xf numFmtId="0" fontId="0" fillId="5" borderId="10" xfId="0" applyNumberFormat="1" applyFont="1" applyFill="1" applyBorder="1" applyAlignment="1"/>
    <xf numFmtId="0" fontId="0" fillId="6" borderId="22" xfId="0" applyFont="1" applyFill="1" applyBorder="1" applyAlignment="1">
      <alignment wrapText="1"/>
    </xf>
    <xf numFmtId="0" fontId="0" fillId="6" borderId="32" xfId="0" applyFont="1" applyFill="1" applyBorder="1" applyAlignment="1">
      <alignment wrapText="1"/>
    </xf>
    <xf numFmtId="49" fontId="0" fillId="6" borderId="27" xfId="0" applyNumberFormat="1" applyFont="1" applyFill="1" applyBorder="1" applyAlignment="1">
      <alignment horizontal="center" vertical="top" wrapText="1"/>
    </xf>
    <xf numFmtId="0" fontId="0" fillId="6" borderId="14" xfId="0" applyFont="1" applyFill="1" applyBorder="1" applyAlignment="1">
      <alignment horizontal="center" vertical="top" wrapText="1"/>
    </xf>
    <xf numFmtId="49" fontId="0" fillId="6" borderId="27" xfId="0" applyNumberFormat="1" applyFont="1" applyFill="1" applyBorder="1" applyAlignment="1">
      <alignment horizontal="left" vertical="top" wrapText="1"/>
    </xf>
    <xf numFmtId="0" fontId="0" fillId="6" borderId="14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2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49" fontId="0" fillId="6" borderId="14" xfId="0" applyNumberFormat="1" applyFont="1" applyFill="1" applyBorder="1" applyAlignment="1">
      <alignment horizontal="center" wrapText="1"/>
    </xf>
    <xf numFmtId="164" fontId="0" fillId="6" borderId="24" xfId="0" applyNumberFormat="1" applyFont="1" applyFill="1" applyBorder="1" applyAlignment="1">
      <alignment horizontal="center" wrapText="1"/>
    </xf>
    <xf numFmtId="49" fontId="0" fillId="6" borderId="14" xfId="0" applyNumberFormat="1" applyFont="1" applyFill="1" applyBorder="1" applyAlignment="1">
      <alignment horizontal="center" vertical="top" wrapText="1"/>
    </xf>
    <xf numFmtId="164" fontId="0" fillId="6" borderId="14" xfId="0" applyNumberFormat="1" applyFont="1" applyFill="1" applyBorder="1" applyAlignment="1">
      <alignment horizontal="center" vertical="top" wrapText="1"/>
    </xf>
    <xf numFmtId="164" fontId="0" fillId="6" borderId="24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40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9" xfId="0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C000"/>
      <rgbColor rgb="FFAAAAAA"/>
      <rgbColor rgb="FFF2F2F2"/>
      <rgbColor rgb="FFFBBC04"/>
      <rgbColor rgb="FFFFFFFF"/>
      <rgbColor rgb="FF262626"/>
      <rgbColor rgb="FFFEF1CC"/>
      <rgbColor rgb="FF595959"/>
      <rgbColor rgb="FFFDE49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>
      <selection sqref="A1:B1"/>
    </sheetView>
  </sheetViews>
  <sheetFormatPr defaultColWidth="12.42578125" defaultRowHeight="15" customHeight="1"/>
  <cols>
    <col min="1" max="1" width="25.42578125" style="1" customWidth="1"/>
    <col min="2" max="3" width="14" style="1" customWidth="1"/>
    <col min="4" max="4" width="6.42578125" style="1" customWidth="1"/>
    <col min="5" max="5" width="17.140625" style="1" customWidth="1"/>
    <col min="6" max="15" width="12.42578125" style="1" customWidth="1"/>
    <col min="16" max="16" width="16.7109375" style="1" customWidth="1"/>
    <col min="17" max="17" width="12.42578125" style="1" customWidth="1"/>
    <col min="18" max="18" width="28.28515625" style="1" customWidth="1"/>
    <col min="19" max="19" width="12.42578125" style="1" customWidth="1"/>
    <col min="20" max="16384" width="12.42578125" style="1"/>
  </cols>
  <sheetData>
    <row r="1" spans="1:18" ht="20.25" customHeight="1">
      <c r="A1" s="93" t="s">
        <v>0</v>
      </c>
      <c r="B1" s="94"/>
      <c r="C1" s="2"/>
      <c r="D1" s="3"/>
      <c r="E1" s="95" t="s">
        <v>1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  <c r="Q1" s="5"/>
      <c r="R1" s="6"/>
    </row>
    <row r="2" spans="1:18" ht="20.25" customHeight="1">
      <c r="A2" s="7" t="s">
        <v>2</v>
      </c>
      <c r="B2" s="8">
        <v>4</v>
      </c>
      <c r="C2" s="9"/>
      <c r="D2" s="10"/>
      <c r="E2" s="98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  <c r="Q2" s="11"/>
      <c r="R2" s="13"/>
    </row>
    <row r="3" spans="1:18" ht="27" customHeight="1">
      <c r="A3" s="7" t="s">
        <v>3</v>
      </c>
      <c r="B3" s="8">
        <v>10</v>
      </c>
      <c r="C3" s="9"/>
      <c r="D3" s="10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11"/>
      <c r="R3" s="13"/>
    </row>
    <row r="4" spans="1:18" ht="31.5" customHeight="1">
      <c r="A4" s="7" t="s">
        <v>4</v>
      </c>
      <c r="B4" s="14">
        <v>461000</v>
      </c>
      <c r="C4" s="9"/>
      <c r="D4" s="10"/>
      <c r="E4" s="101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11"/>
      <c r="R4" s="13"/>
    </row>
    <row r="5" spans="1:18" ht="15.75" customHeight="1">
      <c r="A5" s="15"/>
      <c r="B5" s="16"/>
      <c r="C5" s="12"/>
      <c r="D5" s="10"/>
      <c r="E5" s="17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1"/>
      <c r="R5" s="13"/>
    </row>
    <row r="6" spans="1:18" ht="12.75" customHeight="1">
      <c r="A6" s="19"/>
      <c r="B6" s="12"/>
      <c r="C6" s="12"/>
      <c r="D6" s="10"/>
      <c r="E6" s="20"/>
      <c r="F6" s="21">
        <v>1</v>
      </c>
      <c r="G6" s="21">
        <f t="shared" ref="G6:O6" si="0">F6+1</f>
        <v>2</v>
      </c>
      <c r="H6" s="21">
        <f t="shared" si="0"/>
        <v>3</v>
      </c>
      <c r="I6" s="21">
        <f t="shared" si="0"/>
        <v>4</v>
      </c>
      <c r="J6" s="21">
        <f t="shared" si="0"/>
        <v>5</v>
      </c>
      <c r="K6" s="21">
        <f t="shared" si="0"/>
        <v>6</v>
      </c>
      <c r="L6" s="21">
        <f t="shared" si="0"/>
        <v>7</v>
      </c>
      <c r="M6" s="21">
        <f t="shared" si="0"/>
        <v>8</v>
      </c>
      <c r="N6" s="21">
        <f t="shared" si="0"/>
        <v>9</v>
      </c>
      <c r="O6" s="21">
        <f t="shared" si="0"/>
        <v>10</v>
      </c>
      <c r="P6" s="22"/>
      <c r="Q6" s="11"/>
      <c r="R6" s="23" t="s">
        <v>17</v>
      </c>
    </row>
    <row r="7" spans="1:18" ht="15.75" customHeight="1">
      <c r="A7" s="19"/>
      <c r="B7" s="12"/>
      <c r="C7" s="12"/>
      <c r="D7" s="10"/>
      <c r="E7" s="17" t="s">
        <v>18</v>
      </c>
      <c r="F7" s="24">
        <f>B4</f>
        <v>461000</v>
      </c>
      <c r="G7" s="24">
        <f t="shared" ref="G7:O7" si="1">F7*1.012</f>
        <v>466532</v>
      </c>
      <c r="H7" s="24">
        <f t="shared" si="1"/>
        <v>472130.38400000002</v>
      </c>
      <c r="I7" s="24">
        <f t="shared" si="1"/>
        <v>477795.94860800001</v>
      </c>
      <c r="J7" s="24">
        <f t="shared" si="1"/>
        <v>483529.49999129603</v>
      </c>
      <c r="K7" s="24">
        <f t="shared" si="1"/>
        <v>489331.8539911916</v>
      </c>
      <c r="L7" s="24">
        <f t="shared" si="1"/>
        <v>495203.83623908588</v>
      </c>
      <c r="M7" s="24">
        <f t="shared" si="1"/>
        <v>501146.28227395494</v>
      </c>
      <c r="N7" s="24">
        <f t="shared" si="1"/>
        <v>507160.03766124242</v>
      </c>
      <c r="O7" s="24">
        <f t="shared" si="1"/>
        <v>513245.95811317733</v>
      </c>
      <c r="P7" s="24">
        <f>SUM(F7:O7)</f>
        <v>4867075.8008779492</v>
      </c>
      <c r="Q7" s="11"/>
      <c r="R7" s="25">
        <f>SUM(F7:J7)</f>
        <v>2360987.8325992962</v>
      </c>
    </row>
    <row r="8" spans="1:18" ht="15.75" customHeight="1">
      <c r="A8" s="19"/>
      <c r="B8" s="104" t="s">
        <v>19</v>
      </c>
      <c r="C8" s="105"/>
      <c r="D8" s="10"/>
      <c r="E8" s="26" t="s">
        <v>20</v>
      </c>
      <c r="F8" s="24">
        <f>-F7*'Industry Stats'!$C$14</f>
        <v>-145215</v>
      </c>
      <c r="G8" s="24">
        <f>-G7*'Industry Stats'!$C$14</f>
        <v>-146957.57999999999</v>
      </c>
      <c r="H8" s="24">
        <f>-H7*'Industry Stats'!$C$14</f>
        <v>-148721.07096000001</v>
      </c>
      <c r="I8" s="24">
        <f>-I7*'Industry Stats'!$C$14</f>
        <v>-150505.72381152</v>
      </c>
      <c r="J8" s="24">
        <f>-J7*'Industry Stats'!$C$14</f>
        <v>-152311.79249725826</v>
      </c>
      <c r="K8" s="24">
        <f>-K7*'Industry Stats'!$C$14</f>
        <v>-154139.53400722536</v>
      </c>
      <c r="L8" s="24">
        <f>-L7*'Industry Stats'!$C$14</f>
        <v>-155989.20841531205</v>
      </c>
      <c r="M8" s="24">
        <f>-M7*'Industry Stats'!$C$14</f>
        <v>-157861.07891629581</v>
      </c>
      <c r="N8" s="24">
        <f>-N7*'Industry Stats'!$C$14</f>
        <v>-159755.41186329137</v>
      </c>
      <c r="O8" s="24">
        <f>-O7*'Industry Stats'!$C$14</f>
        <v>-161672.47680565086</v>
      </c>
      <c r="P8" s="24">
        <f>SUM(F8:O8)</f>
        <v>-1533128.8772765538</v>
      </c>
      <c r="Q8" s="27"/>
      <c r="R8" s="28">
        <f>SUM(F8:J8)</f>
        <v>-743711.16726877831</v>
      </c>
    </row>
    <row r="9" spans="1:18" ht="15.75" customHeight="1">
      <c r="A9" s="19"/>
      <c r="B9" s="29" t="s">
        <v>18</v>
      </c>
      <c r="C9" s="28">
        <f>F7</f>
        <v>461000</v>
      </c>
      <c r="D9" s="30"/>
      <c r="E9" s="26" t="s">
        <v>21</v>
      </c>
      <c r="F9" s="24">
        <f>-F7*'Industry Stats'!$C$13</f>
        <v>-121343.47660707495</v>
      </c>
      <c r="G9" s="24">
        <f>-G7*('Industry Stats'!$C$13*(1+('Industry Stats'!$C$12)^F6))</f>
        <v>-125378.38989121339</v>
      </c>
      <c r="H9" s="24">
        <f>-H7*('Industry Stats'!$C$13*(1+('Industry Stats'!$C$12)^G6))</f>
        <v>-124327.99798461242</v>
      </c>
      <c r="I9" s="24">
        <f>-I7*('Industry Stats'!$C$13*(1+('Industry Stats'!$C$12)^H6))</f>
        <v>-125765.63653312509</v>
      </c>
      <c r="J9" s="24">
        <f>-J7*('Industry Stats'!$C$13*(1+('Industry Stats'!$C$12)^I6))</f>
        <v>-127273.67024259754</v>
      </c>
      <c r="K9" s="24">
        <f>-K7*('Industry Stats'!$C$13*(1+('Industry Stats'!$C$12)^J6))</f>
        <v>-128800.92976221124</v>
      </c>
      <c r="L9" s="24">
        <f>-L7*('Industry Stats'!$C$13*(1+('Industry Stats'!$C$12)^K6))</f>
        <v>-130346.54039818862</v>
      </c>
      <c r="M9" s="24">
        <f>-M7*('Industry Stats'!$C$13*(1+('Industry Stats'!$C$12)^L6))</f>
        <v>-131910.69887189101</v>
      </c>
      <c r="N9" s="24">
        <f>-N7*('Industry Stats'!$C$13*(1+('Industry Stats'!$C$12)^M6))</f>
        <v>-133493.6272581183</v>
      </c>
      <c r="O9" s="24">
        <f>-O7*('Industry Stats'!$C$13*(1+('Industry Stats'!$C$12)^N6))</f>
        <v>-135095.55078521074</v>
      </c>
      <c r="P9" s="24">
        <f>SUM(F9:O9)</f>
        <v>-1283736.5183342432</v>
      </c>
      <c r="Q9" s="27"/>
      <c r="R9" s="28">
        <f>SUM(F9:J9)</f>
        <v>-624089.17125862336</v>
      </c>
    </row>
    <row r="10" spans="1:18" ht="15.75" customHeight="1">
      <c r="A10" s="19"/>
      <c r="B10" s="29" t="s">
        <v>22</v>
      </c>
      <c r="C10" s="28">
        <f>F8+F10+F11+F14</f>
        <v>-283054</v>
      </c>
      <c r="D10" s="30"/>
      <c r="E10" s="26" t="s">
        <v>23</v>
      </c>
      <c r="F10" s="24">
        <f>-F7*'Industry Stats'!$C$15</f>
        <v>-922</v>
      </c>
      <c r="G10" s="24">
        <f>-G7*'Industry Stats'!$C$15</f>
        <v>-933.06399999999996</v>
      </c>
      <c r="H10" s="24">
        <f>-H7*'Industry Stats'!$C$15</f>
        <v>-944.2607680000001</v>
      </c>
      <c r="I10" s="24">
        <f>-I7*'Industry Stats'!$C$15</f>
        <v>-955.59189721600001</v>
      </c>
      <c r="J10" s="24">
        <f>-J7*'Industry Stats'!$C$15</f>
        <v>-967.05899998259213</v>
      </c>
      <c r="K10" s="24">
        <f>-K7*'Industry Stats'!$C$15</f>
        <v>-978.66370798238324</v>
      </c>
      <c r="L10" s="24">
        <f>-L7*'Industry Stats'!$C$15</f>
        <v>-990.40767247817178</v>
      </c>
      <c r="M10" s="24">
        <f>-M7*'Industry Stats'!$C$15</f>
        <v>-1002.2925645479099</v>
      </c>
      <c r="N10" s="24">
        <f>-N7*'Industry Stats'!$C$15</f>
        <v>-1014.3200753224849</v>
      </c>
      <c r="O10" s="24">
        <f>-O7*'Industry Stats'!$C$15</f>
        <v>-1026.4919162263548</v>
      </c>
      <c r="P10" s="24">
        <f>SUM(F10:O10)</f>
        <v>-9734.151601755897</v>
      </c>
      <c r="Q10" s="27"/>
      <c r="R10" s="28">
        <f>SUM(F10:J10)</f>
        <v>-4721.9756651985927</v>
      </c>
    </row>
    <row r="11" spans="1:18" ht="15.75" customHeight="1">
      <c r="A11" s="19"/>
      <c r="B11" s="91" t="s">
        <v>24</v>
      </c>
      <c r="C11" s="28">
        <f>C9+C10</f>
        <v>177946</v>
      </c>
      <c r="D11" s="30"/>
      <c r="E11" s="26" t="s">
        <v>25</v>
      </c>
      <c r="F11" s="24">
        <f>-F7*'Industry Stats'!$C$17</f>
        <v>-20284</v>
      </c>
      <c r="G11" s="24">
        <f>-G7*'Industry Stats'!$C$17</f>
        <v>-20527.407999999999</v>
      </c>
      <c r="H11" s="24">
        <f>-H7*'Industry Stats'!$C$17</f>
        <v>-20773.736895999999</v>
      </c>
      <c r="I11" s="24">
        <f>-I7*'Industry Stats'!$C$17</f>
        <v>-21023.021738751999</v>
      </c>
      <c r="J11" s="24">
        <f>-J7*'Industry Stats'!$C$17</f>
        <v>-21275.297999617025</v>
      </c>
      <c r="K11" s="24">
        <f>-K7*'Industry Stats'!$C$17</f>
        <v>-21530.601575612429</v>
      </c>
      <c r="L11" s="24">
        <f>-L7*'Industry Stats'!$C$17</f>
        <v>-21788.968794519777</v>
      </c>
      <c r="M11" s="24">
        <f>-M7*'Industry Stats'!$C$17</f>
        <v>-22050.436420054015</v>
      </c>
      <c r="N11" s="24">
        <f>-N7*'Industry Stats'!$C$17</f>
        <v>-22315.041657094665</v>
      </c>
      <c r="O11" s="24">
        <f>-O7*'Industry Stats'!$C$17</f>
        <v>-22582.822156979801</v>
      </c>
      <c r="P11" s="24">
        <f>SUM(F11:O11)</f>
        <v>-214151.33523862969</v>
      </c>
      <c r="Q11" s="27"/>
      <c r="R11" s="28">
        <f>SUM(F11:J11)</f>
        <v>-103883.46463436901</v>
      </c>
    </row>
    <row r="12" spans="1:18" ht="15.75" customHeight="1">
      <c r="A12" s="19"/>
      <c r="B12" s="92"/>
      <c r="C12" s="31"/>
      <c r="D12" s="10"/>
      <c r="E12" s="26" t="s">
        <v>26</v>
      </c>
      <c r="F12" s="24">
        <f t="shared" ref="F12:P12" si="2">(SUM(F7:F11))</f>
        <v>173235.52339292504</v>
      </c>
      <c r="G12" s="24">
        <f t="shared" si="2"/>
        <v>172735.55810878664</v>
      </c>
      <c r="H12" s="24">
        <f t="shared" si="2"/>
        <v>177363.31739138762</v>
      </c>
      <c r="I12" s="24">
        <f t="shared" si="2"/>
        <v>179545.97462738695</v>
      </c>
      <c r="J12" s="24">
        <f t="shared" si="2"/>
        <v>181701.68025184065</v>
      </c>
      <c r="K12" s="24">
        <f t="shared" si="2"/>
        <v>183882.12493816021</v>
      </c>
      <c r="L12" s="24">
        <f t="shared" si="2"/>
        <v>186088.71095858724</v>
      </c>
      <c r="M12" s="24">
        <f t="shared" si="2"/>
        <v>188321.77550116624</v>
      </c>
      <c r="N12" s="24">
        <f t="shared" si="2"/>
        <v>190581.63680741555</v>
      </c>
      <c r="O12" s="24">
        <f t="shared" si="2"/>
        <v>192868.61644910957</v>
      </c>
      <c r="P12" s="24">
        <f t="shared" si="2"/>
        <v>1826324.9184267665</v>
      </c>
      <c r="Q12" s="27"/>
      <c r="R12" s="32"/>
    </row>
    <row r="13" spans="1:18" ht="15.75" customHeight="1">
      <c r="A13" s="19"/>
      <c r="B13" s="92"/>
      <c r="C13" s="12"/>
      <c r="D13" s="10"/>
      <c r="E13" s="26" t="s">
        <v>27</v>
      </c>
      <c r="F13" s="24">
        <f>-F7*'Industry Stats'!$C$16</f>
        <v>-30887.000000000004</v>
      </c>
      <c r="G13" s="24">
        <f>-G7*'Industry Stats'!$C$16</f>
        <v>-31257.644</v>
      </c>
      <c r="H13" s="24">
        <f>-H7*'Industry Stats'!$C$16</f>
        <v>-31632.735728000003</v>
      </c>
      <c r="I13" s="24">
        <f>-I7*'Industry Stats'!$C$16</f>
        <v>-32012.328556736004</v>
      </c>
      <c r="J13" s="24">
        <f>-J7*'Industry Stats'!$C$16</f>
        <v>-32396.476499416836</v>
      </c>
      <c r="K13" s="24">
        <f>-K7*'Industry Stats'!$C$16</f>
        <v>-32785.234217409838</v>
      </c>
      <c r="L13" s="24">
        <f>-L7*'Industry Stats'!$C$16</f>
        <v>-33178.657028018759</v>
      </c>
      <c r="M13" s="24">
        <f>-M7*'Industry Stats'!$C$16</f>
        <v>-33576.800912354985</v>
      </c>
      <c r="N13" s="24">
        <f>-N7*'Industry Stats'!$C$16</f>
        <v>-33979.722523303244</v>
      </c>
      <c r="O13" s="24">
        <f>-O7*'Industry Stats'!$C$16</f>
        <v>-34387.479193582883</v>
      </c>
      <c r="P13" s="24">
        <f>SUM(F13:O13)</f>
        <v>-326094.07865882257</v>
      </c>
      <c r="Q13" s="27"/>
      <c r="R13" s="32"/>
    </row>
    <row r="14" spans="1:18" ht="15.75" customHeight="1">
      <c r="A14" s="19"/>
      <c r="B14" s="92"/>
      <c r="C14" s="12"/>
      <c r="D14" s="10"/>
      <c r="E14" s="26" t="s">
        <v>28</v>
      </c>
      <c r="F14" s="24">
        <f>-F7*'Industry Stats'!$C$18</f>
        <v>-116633</v>
      </c>
      <c r="G14" s="24">
        <f>-G7*'Industry Stats'!$C$18</f>
        <v>-118032.59600000001</v>
      </c>
      <c r="H14" s="24">
        <f>-H7*'Industry Stats'!$C$18</f>
        <v>-119448.987152</v>
      </c>
      <c r="I14" s="24">
        <f>-I7*'Industry Stats'!$C$18</f>
        <v>-120882.37499782401</v>
      </c>
      <c r="J14" s="24">
        <f>-J7*'Industry Stats'!$C$18</f>
        <v>-122332.9634977979</v>
      </c>
      <c r="K14" s="24">
        <f>-K7*'Industry Stats'!$C$18</f>
        <v>-123800.95905977147</v>
      </c>
      <c r="L14" s="24">
        <f>-L7*'Industry Stats'!$C$18</f>
        <v>-125286.57056848874</v>
      </c>
      <c r="M14" s="24">
        <f>-M7*'Industry Stats'!$C$18</f>
        <v>-126790.0094153106</v>
      </c>
      <c r="N14" s="24">
        <f>-N7*'Industry Stats'!$C$18</f>
        <v>-128311.48952829433</v>
      </c>
      <c r="O14" s="24">
        <f>-O7*'Industry Stats'!$C$18</f>
        <v>-129851.22740263387</v>
      </c>
      <c r="P14" s="24">
        <f>-P7*'Industry Stats'!$C$18</f>
        <v>-1231370.1776221211</v>
      </c>
      <c r="Q14" s="27"/>
      <c r="R14" s="28">
        <f>SUM(F14:J14)</f>
        <v>-597329.92164762202</v>
      </c>
    </row>
    <row r="15" spans="1:18" ht="15.75" customHeight="1">
      <c r="A15" s="19"/>
      <c r="B15" s="92"/>
      <c r="C15" s="12"/>
      <c r="D15" s="10"/>
      <c r="E15" s="26" t="s">
        <v>29</v>
      </c>
      <c r="F15" s="24">
        <f t="shared" ref="F15:O15" si="3">SUM(F12:F14)</f>
        <v>25715.523392925039</v>
      </c>
      <c r="G15" s="24">
        <f t="shared" si="3"/>
        <v>23445.31810878664</v>
      </c>
      <c r="H15" s="24">
        <f t="shared" si="3"/>
        <v>26281.594511387622</v>
      </c>
      <c r="I15" s="24">
        <f t="shared" si="3"/>
        <v>26651.271072826945</v>
      </c>
      <c r="J15" s="24">
        <f t="shared" si="3"/>
        <v>26972.240254625911</v>
      </c>
      <c r="K15" s="24">
        <f t="shared" si="3"/>
        <v>27295.931660978909</v>
      </c>
      <c r="L15" s="24">
        <f t="shared" si="3"/>
        <v>27623.483362079744</v>
      </c>
      <c r="M15" s="24">
        <f t="shared" si="3"/>
        <v>27954.965173500648</v>
      </c>
      <c r="N15" s="24">
        <f t="shared" si="3"/>
        <v>28290.424755817978</v>
      </c>
      <c r="O15" s="24">
        <f t="shared" si="3"/>
        <v>28629.909852892801</v>
      </c>
      <c r="P15" s="24">
        <f>SUM(F15:O15)</f>
        <v>268860.66214582219</v>
      </c>
      <c r="Q15" s="27"/>
      <c r="R15" s="33">
        <f>SUM(R3:R14)</f>
        <v>287252.13212470501</v>
      </c>
    </row>
    <row r="16" spans="1:18" ht="15.75" customHeight="1">
      <c r="A16" s="19"/>
      <c r="B16" s="92"/>
      <c r="C16" s="12"/>
      <c r="D16" s="10"/>
      <c r="E16" s="26" t="s">
        <v>30</v>
      </c>
      <c r="F16" s="34">
        <f t="shared" ref="F16:P16" si="4">F15/F7</f>
        <v>5.5782046405477306E-2</v>
      </c>
      <c r="G16" s="34">
        <f t="shared" si="4"/>
        <v>5.0254469379992457E-2</v>
      </c>
      <c r="H16" s="34">
        <f t="shared" si="4"/>
        <v>5.5665967287942264E-2</v>
      </c>
      <c r="I16" s="34">
        <f t="shared" si="4"/>
        <v>5.5779608744009154E-2</v>
      </c>
      <c r="J16" s="34">
        <f t="shared" si="4"/>
        <v>5.5781995214586565E-2</v>
      </c>
      <c r="K16" s="34">
        <f t="shared" si="4"/>
        <v>5.5782045330468634E-2</v>
      </c>
      <c r="L16" s="34">
        <f t="shared" si="4"/>
        <v>5.5782046382902101E-2</v>
      </c>
      <c r="M16" s="34">
        <f t="shared" si="4"/>
        <v>5.5782046405003324E-2</v>
      </c>
      <c r="N16" s="34">
        <f t="shared" si="4"/>
        <v>5.5782046405467321E-2</v>
      </c>
      <c r="O16" s="34">
        <f t="shared" si="4"/>
        <v>5.5782046405477077E-2</v>
      </c>
      <c r="P16" s="34">
        <f t="shared" si="4"/>
        <v>5.5240697524645839E-2</v>
      </c>
      <c r="Q16" s="11"/>
      <c r="R16" s="35"/>
    </row>
    <row r="17" spans="1:18" ht="15.75" customHeight="1">
      <c r="A17" s="19"/>
      <c r="B17" s="92"/>
      <c r="C17" s="12"/>
      <c r="D17" s="1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1"/>
      <c r="R17" s="13"/>
    </row>
    <row r="18" spans="1:18" ht="15.75" customHeight="1">
      <c r="A18" s="19"/>
      <c r="B18" s="12"/>
      <c r="C18" s="12"/>
      <c r="D18" s="1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11"/>
      <c r="R18" s="13"/>
    </row>
    <row r="19" spans="1:18" ht="15.75" customHeight="1">
      <c r="A19" s="19"/>
      <c r="B19" s="12"/>
      <c r="C19" s="12"/>
      <c r="D19" s="10"/>
      <c r="E19" s="26" t="s">
        <v>31</v>
      </c>
      <c r="F19" s="18" t="s">
        <v>6</v>
      </c>
      <c r="G19" s="18" t="s">
        <v>7</v>
      </c>
      <c r="H19" s="18" t="s">
        <v>8</v>
      </c>
      <c r="I19" s="18" t="s">
        <v>9</v>
      </c>
      <c r="J19" s="18" t="s">
        <v>10</v>
      </c>
      <c r="K19" s="18" t="s">
        <v>11</v>
      </c>
      <c r="L19" s="18" t="s">
        <v>12</v>
      </c>
      <c r="M19" s="18" t="s">
        <v>13</v>
      </c>
      <c r="N19" s="18" t="s">
        <v>14</v>
      </c>
      <c r="O19" s="18" t="s">
        <v>15</v>
      </c>
      <c r="P19" s="18" t="s">
        <v>16</v>
      </c>
      <c r="Q19" s="11"/>
      <c r="R19" s="13"/>
    </row>
    <row r="20" spans="1:18" ht="15.75" customHeight="1">
      <c r="A20" s="19"/>
      <c r="B20" s="12"/>
      <c r="C20" s="12"/>
      <c r="D20" s="10"/>
      <c r="E20" s="26" t="s">
        <v>32</v>
      </c>
      <c r="F20" s="21">
        <f>B2</f>
        <v>4</v>
      </c>
      <c r="G20" s="21">
        <f t="shared" ref="G20:O20" si="5">F20+$B$3</f>
        <v>14</v>
      </c>
      <c r="H20" s="21">
        <f t="shared" si="5"/>
        <v>24</v>
      </c>
      <c r="I20" s="21">
        <f t="shared" si="5"/>
        <v>34</v>
      </c>
      <c r="J20" s="21">
        <f t="shared" si="5"/>
        <v>44</v>
      </c>
      <c r="K20" s="21">
        <f t="shared" si="5"/>
        <v>54</v>
      </c>
      <c r="L20" s="21">
        <f t="shared" si="5"/>
        <v>64</v>
      </c>
      <c r="M20" s="21">
        <f t="shared" si="5"/>
        <v>74</v>
      </c>
      <c r="N20" s="21">
        <f t="shared" si="5"/>
        <v>84</v>
      </c>
      <c r="O20" s="21">
        <f t="shared" si="5"/>
        <v>94</v>
      </c>
      <c r="P20" s="21">
        <f>O20</f>
        <v>94</v>
      </c>
      <c r="Q20" s="11"/>
      <c r="R20" s="36" t="s">
        <v>33</v>
      </c>
    </row>
    <row r="21" spans="1:18" ht="15.75" hidden="1" customHeight="1">
      <c r="A21" s="19"/>
      <c r="B21" s="12"/>
      <c r="C21" s="12"/>
      <c r="D21" s="10"/>
      <c r="E21" s="37"/>
      <c r="F21" s="21">
        <v>1</v>
      </c>
      <c r="G21" s="21">
        <f t="shared" ref="G21:O21" si="6">F21+1</f>
        <v>2</v>
      </c>
      <c r="H21" s="21">
        <f t="shared" si="6"/>
        <v>3</v>
      </c>
      <c r="I21" s="21">
        <f t="shared" si="6"/>
        <v>4</v>
      </c>
      <c r="J21" s="21">
        <f t="shared" si="6"/>
        <v>5</v>
      </c>
      <c r="K21" s="21">
        <f t="shared" si="6"/>
        <v>6</v>
      </c>
      <c r="L21" s="21">
        <f t="shared" si="6"/>
        <v>7</v>
      </c>
      <c r="M21" s="21">
        <f t="shared" si="6"/>
        <v>8</v>
      </c>
      <c r="N21" s="21">
        <f t="shared" si="6"/>
        <v>9</v>
      </c>
      <c r="O21" s="21">
        <f t="shared" si="6"/>
        <v>10</v>
      </c>
      <c r="P21" s="22"/>
      <c r="Q21" s="11"/>
      <c r="R21" s="38">
        <f>SUM(F21:J21)</f>
        <v>15</v>
      </c>
    </row>
    <row r="22" spans="1:18" ht="15.75" customHeight="1">
      <c r="A22" s="19"/>
      <c r="B22" s="106" t="s">
        <v>34</v>
      </c>
      <c r="C22" s="107"/>
      <c r="D22" s="10"/>
      <c r="E22" s="26" t="s">
        <v>18</v>
      </c>
      <c r="F22" s="39">
        <f>B4*B2</f>
        <v>1844000</v>
      </c>
      <c r="G22" s="39">
        <f t="shared" ref="G22:O22" si="7">(F22+($B$4*$B$3))*1.012</f>
        <v>6531448</v>
      </c>
      <c r="H22" s="39">
        <f t="shared" si="7"/>
        <v>11275145.376</v>
      </c>
      <c r="I22" s="39">
        <f t="shared" si="7"/>
        <v>16075767.120512001</v>
      </c>
      <c r="J22" s="39">
        <f t="shared" si="7"/>
        <v>20933996.325958144</v>
      </c>
      <c r="K22" s="39">
        <f t="shared" si="7"/>
        <v>25850524.281869642</v>
      </c>
      <c r="L22" s="39">
        <f t="shared" si="7"/>
        <v>30826050.573252078</v>
      </c>
      <c r="M22" s="39">
        <f t="shared" si="7"/>
        <v>35861283.180131108</v>
      </c>
      <c r="N22" s="39">
        <f t="shared" si="7"/>
        <v>40956938.578292683</v>
      </c>
      <c r="O22" s="39">
        <f t="shared" si="7"/>
        <v>46113741.841232195</v>
      </c>
      <c r="P22" s="39">
        <f>SUM(F22:O22)</f>
        <v>236268895.27724785</v>
      </c>
      <c r="Q22" s="27"/>
      <c r="R22" s="28">
        <f>SUM(F22:J22)</f>
        <v>56660356.822470143</v>
      </c>
    </row>
    <row r="23" spans="1:18" ht="15.75" customHeight="1">
      <c r="A23" s="19"/>
      <c r="B23" s="107"/>
      <c r="C23" s="108"/>
      <c r="D23" s="10"/>
      <c r="E23" s="26" t="s">
        <v>20</v>
      </c>
      <c r="F23" s="39">
        <f>-F22*'Industry Stats'!$C$14</f>
        <v>-580860</v>
      </c>
      <c r="G23" s="39">
        <f>-G22*'Industry Stats'!$C$14</f>
        <v>-2057406.12</v>
      </c>
      <c r="H23" s="39">
        <f>-H22*'Industry Stats'!$C$14</f>
        <v>-3551670.7934400002</v>
      </c>
      <c r="I23" s="39">
        <f>-I22*'Industry Stats'!$C$14</f>
        <v>-5063866.6429612804</v>
      </c>
      <c r="J23" s="39">
        <f>-J22*'Industry Stats'!$C$14</f>
        <v>-6594208.8426768156</v>
      </c>
      <c r="K23" s="39">
        <f>-K22*'Industry Stats'!$C$14</f>
        <v>-8142915.1487889374</v>
      </c>
      <c r="L23" s="39">
        <f>-L22*'Industry Stats'!$C$14</f>
        <v>-9710205.9305744041</v>
      </c>
      <c r="M23" s="39">
        <f>-M22*'Industry Stats'!$C$14</f>
        <v>-11296304.201741299</v>
      </c>
      <c r="N23" s="39">
        <f>-N22*'Industry Stats'!$C$14</f>
        <v>-12901435.652162194</v>
      </c>
      <c r="O23" s="39">
        <f>-O22*'Industry Stats'!$C$14</f>
        <v>-14525828.679988142</v>
      </c>
      <c r="P23" s="39">
        <f>SUM(F23:O23)</f>
        <v>-74424702.01233308</v>
      </c>
      <c r="Q23" s="27"/>
      <c r="R23" s="40">
        <f>SUM(F23:J23)</f>
        <v>-17848012.399078097</v>
      </c>
    </row>
    <row r="24" spans="1:18" ht="15.75" customHeight="1">
      <c r="A24" s="19"/>
      <c r="B24" s="29" t="s">
        <v>18</v>
      </c>
      <c r="C24" s="28">
        <f>F22</f>
        <v>1844000</v>
      </c>
      <c r="D24" s="30"/>
      <c r="E24" s="26" t="s">
        <v>21</v>
      </c>
      <c r="F24" s="39">
        <f>-F22*'Industry Stats'!$C$13</f>
        <v>-485373.90642829979</v>
      </c>
      <c r="G24" s="39">
        <f>-G22*('Industry Stats'!$C$13*(1+('Industry Stats'!$C$12)^F21))</f>
        <v>-1755297.4584769874</v>
      </c>
      <c r="H24" s="39">
        <f>-H22*('Industry Stats'!$C$13*(1+('Industry Stats'!$C$12)^G21))</f>
        <v>-2969129.5012767911</v>
      </c>
      <c r="I24" s="39">
        <f>-I22*('Industry Stats'!$C$13*(1+('Industry Stats'!$C$12)^H21))</f>
        <v>-4231469.7112013632</v>
      </c>
      <c r="J24" s="39">
        <f>-J22*('Industry Stats'!$C$13*(1+('Industry Stats'!$C$12)^I21))</f>
        <v>-5510204.7451038789</v>
      </c>
      <c r="K24" s="39">
        <f>-K22*('Industry Stats'!$C$13*(1+('Industry Stats'!$C$12)^J21))</f>
        <v>-6804322.1286087846</v>
      </c>
      <c r="L24" s="39">
        <f>-L22*('Industry Stats'!$C$13*(1+('Industry Stats'!$C$12)^K21))</f>
        <v>-8113969.9499885775</v>
      </c>
      <c r="M24" s="39">
        <f>-M22*('Industry Stats'!$C$13*(1+('Industry Stats'!$C$12)^L21))</f>
        <v>-9439333.5719647855</v>
      </c>
      <c r="N24" s="39">
        <f>-N22*('Industry Stats'!$C$13*(1+('Industry Stats'!$C$12)^M21))</f>
        <v>-10780601.558075165</v>
      </c>
      <c r="O24" s="39">
        <f>-O22*('Industry Stats'!$C$13*(1+('Industry Stats'!$C$12)^N21))</f>
        <v>-12137964.760035263</v>
      </c>
      <c r="P24" s="39">
        <f>SUM(F24:O24)</f>
        <v>-62227667.291159891</v>
      </c>
      <c r="Q24" s="27"/>
      <c r="R24" s="28">
        <f>SUM(F24:J24)+(121343*5)</f>
        <v>-14344760.322487319</v>
      </c>
    </row>
    <row r="25" spans="1:18" ht="15.75" customHeight="1">
      <c r="A25" s="19"/>
      <c r="B25" s="29" t="s">
        <v>22</v>
      </c>
      <c r="C25" s="41">
        <f>F23+F25+F26+F29+((3/4*F24))</f>
        <v>-1496246.4298212249</v>
      </c>
      <c r="D25" s="30"/>
      <c r="E25" s="26" t="s">
        <v>23</v>
      </c>
      <c r="F25" s="39">
        <f>-F22*'Industry Stats'!$C$15</f>
        <v>-3688</v>
      </c>
      <c r="G25" s="39">
        <f>-G22*'Industry Stats'!$C$15</f>
        <v>-13062.896000000001</v>
      </c>
      <c r="H25" s="39">
        <f>-H22*'Industry Stats'!$C$15</f>
        <v>-22550.290752000001</v>
      </c>
      <c r="I25" s="39">
        <f>-I22*'Industry Stats'!$C$15</f>
        <v>-32151.534241024005</v>
      </c>
      <c r="J25" s="39">
        <f>-J22*'Industry Stats'!$C$15</f>
        <v>-41867.992651916291</v>
      </c>
      <c r="K25" s="39">
        <f>-K22*'Industry Stats'!$C$15</f>
        <v>-51701.048563739285</v>
      </c>
      <c r="L25" s="39">
        <f>-L22*'Industry Stats'!$C$15</f>
        <v>-61652.101146504159</v>
      </c>
      <c r="M25" s="39">
        <f>-M22*'Industry Stats'!$C$15</f>
        <v>-71722.566360262223</v>
      </c>
      <c r="N25" s="39">
        <f>-N22*'Industry Stats'!$C$15</f>
        <v>-81913.877156585368</v>
      </c>
      <c r="O25" s="39">
        <f>-O22*'Industry Stats'!$C$15</f>
        <v>-92227.483682464386</v>
      </c>
      <c r="P25" s="39">
        <f>SUM(F25:O25)</f>
        <v>-472537.7905544957</v>
      </c>
      <c r="Q25" s="27"/>
      <c r="R25" s="28">
        <f>SUM(F25:J25)</f>
        <v>-113320.71364494029</v>
      </c>
    </row>
    <row r="26" spans="1:18" ht="15.75" customHeight="1">
      <c r="A26" s="19"/>
      <c r="B26" s="89" t="s">
        <v>35</v>
      </c>
      <c r="C26" s="28">
        <f>C24+C25</f>
        <v>347753.57017877512</v>
      </c>
      <c r="D26" s="30"/>
      <c r="E26" s="26" t="s">
        <v>25</v>
      </c>
      <c r="F26" s="39">
        <f>-F22*'Industry Stats'!$C$17</f>
        <v>-81136</v>
      </c>
      <c r="G26" s="39">
        <f>-G22*'Industry Stats'!$C$17</f>
        <v>-287383.712</v>
      </c>
      <c r="H26" s="39">
        <f>-H22*'Industry Stats'!$C$17</f>
        <v>-496106.39654399996</v>
      </c>
      <c r="I26" s="39">
        <f>-I22*'Industry Stats'!$C$17</f>
        <v>-707333.75330252806</v>
      </c>
      <c r="J26" s="39">
        <f>-J22*'Industry Stats'!$C$17</f>
        <v>-921095.83834215824</v>
      </c>
      <c r="K26" s="39">
        <f>-K22*'Industry Stats'!$C$17</f>
        <v>-1137423.0684022643</v>
      </c>
      <c r="L26" s="39">
        <f>-L22*'Industry Stats'!$C$17</f>
        <v>-1356346.2252230914</v>
      </c>
      <c r="M26" s="39">
        <f>-M22*'Industry Stats'!$C$17</f>
        <v>-1577896.4599257687</v>
      </c>
      <c r="N26" s="39">
        <f>-N22*'Industry Stats'!$C$17</f>
        <v>-1802105.2974448779</v>
      </c>
      <c r="O26" s="39">
        <f>-O22*'Industry Stats'!$C$17</f>
        <v>-2029004.6410142165</v>
      </c>
      <c r="P26" s="39">
        <f>SUM(F26:O26)</f>
        <v>-10395831.392198905</v>
      </c>
      <c r="Q26" s="27"/>
      <c r="R26" s="32"/>
    </row>
    <row r="27" spans="1:18" ht="15.75" customHeight="1">
      <c r="A27" s="19"/>
      <c r="B27" s="90"/>
      <c r="C27" s="31"/>
      <c r="D27" s="10"/>
      <c r="E27" s="26" t="s">
        <v>26</v>
      </c>
      <c r="F27" s="39">
        <f t="shared" ref="F27:P27" si="8">(SUM(F22:F26))</f>
        <v>692942.09357170016</v>
      </c>
      <c r="G27" s="39">
        <f t="shared" si="8"/>
        <v>2418297.8135230122</v>
      </c>
      <c r="H27" s="39">
        <f t="shared" si="8"/>
        <v>4235688.3939872086</v>
      </c>
      <c r="I27" s="39">
        <f t="shared" si="8"/>
        <v>6040945.4788058046</v>
      </c>
      <c r="J27" s="39">
        <f t="shared" si="8"/>
        <v>7866618.9071833752</v>
      </c>
      <c r="K27" s="39">
        <f t="shared" si="8"/>
        <v>9714162.8875059169</v>
      </c>
      <c r="L27" s="39">
        <f t="shared" si="8"/>
        <v>11583876.3663195</v>
      </c>
      <c r="M27" s="39">
        <f t="shared" si="8"/>
        <v>13476026.380138991</v>
      </c>
      <c r="N27" s="39">
        <f t="shared" si="8"/>
        <v>15390882.193453858</v>
      </c>
      <c r="O27" s="39">
        <f t="shared" si="8"/>
        <v>17328716.276512109</v>
      </c>
      <c r="P27" s="39">
        <f t="shared" si="8"/>
        <v>88748156.791001454</v>
      </c>
      <c r="Q27" s="27"/>
      <c r="R27" s="32"/>
    </row>
    <row r="28" spans="1:18" ht="15.75" customHeight="1">
      <c r="A28" s="19"/>
      <c r="B28" s="90"/>
      <c r="C28" s="12"/>
      <c r="D28" s="10"/>
      <c r="E28" s="26" t="s">
        <v>27</v>
      </c>
      <c r="F28" s="39">
        <f>-F22*'Industry Stats'!$C$16</f>
        <v>-123548.00000000001</v>
      </c>
      <c r="G28" s="39">
        <f>-G22*'Industry Stats'!$C$16</f>
        <v>-437607.016</v>
      </c>
      <c r="H28" s="39">
        <f>-H22*'Industry Stats'!$C$16</f>
        <v>-755434.74019200006</v>
      </c>
      <c r="I28" s="39">
        <f>-I22*'Industry Stats'!$C$16</f>
        <v>-1077076.3970743041</v>
      </c>
      <c r="J28" s="39">
        <f>-J22*'Industry Stats'!$C$16</f>
        <v>-1402577.7538391957</v>
      </c>
      <c r="K28" s="39">
        <f>-K22*'Industry Stats'!$C$16</f>
        <v>-1731985.126885266</v>
      </c>
      <c r="L28" s="39">
        <f>-L22*'Industry Stats'!$C$16</f>
        <v>-2065345.3884078893</v>
      </c>
      <c r="M28" s="39">
        <f>-M22*'Industry Stats'!$C$16</f>
        <v>-2402705.9730687845</v>
      </c>
      <c r="N28" s="39">
        <f>-N22*'Industry Stats'!$C$16</f>
        <v>-2744114.8847456099</v>
      </c>
      <c r="O28" s="39">
        <f>-O22*'Industry Stats'!$C$16</f>
        <v>-3089620.7033625571</v>
      </c>
      <c r="P28" s="39">
        <f>SUM(F28:O28)</f>
        <v>-15830015.983575609</v>
      </c>
      <c r="Q28" s="27"/>
      <c r="R28" s="28">
        <f>SUM(F28:J28)</f>
        <v>-3796243.9071054999</v>
      </c>
    </row>
    <row r="29" spans="1:18" ht="18.75" customHeight="1">
      <c r="A29" s="19"/>
      <c r="B29" s="90"/>
      <c r="C29" s="12"/>
      <c r="D29" s="10"/>
      <c r="E29" s="26" t="s">
        <v>28</v>
      </c>
      <c r="F29" s="39">
        <f>-F22*'Industry Stats'!$C$18</f>
        <v>-466532</v>
      </c>
      <c r="G29" s="39">
        <f>-G22*'Industry Stats'!$C$18</f>
        <v>-1652456.344</v>
      </c>
      <c r="H29" s="39">
        <f>-H22*'Industry Stats'!$C$18</f>
        <v>-2852611.7801280003</v>
      </c>
      <c r="I29" s="39">
        <f>-I22*'Industry Stats'!$C$18</f>
        <v>-4067169.0814895364</v>
      </c>
      <c r="J29" s="39">
        <f>-J22*'Industry Stats'!$C$18</f>
        <v>-5296301.0704674106</v>
      </c>
      <c r="K29" s="39">
        <f>-K22*'Industry Stats'!$C$18</f>
        <v>-6540182.6433130195</v>
      </c>
      <c r="L29" s="39">
        <f>-L22*'Industry Stats'!$C$18</f>
        <v>-7798990.795032776</v>
      </c>
      <c r="M29" s="39">
        <f>-M22*'Industry Stats'!$C$18</f>
        <v>-9072904.6445731707</v>
      </c>
      <c r="N29" s="39">
        <f>-N22*'Industry Stats'!$C$18</f>
        <v>-10362105.460308049</v>
      </c>
      <c r="O29" s="39">
        <f>-O22*'Industry Stats'!$C$18</f>
        <v>-11666776.685831746</v>
      </c>
      <c r="P29" s="39">
        <f>-P22*'Industry Stats'!$C$18</f>
        <v>-59776030.505143702</v>
      </c>
      <c r="Q29" s="27"/>
      <c r="R29" s="33">
        <f>SUM(R17:R28)</f>
        <v>20558034.480154283</v>
      </c>
    </row>
    <row r="30" spans="1:18" ht="15.75" customHeight="1">
      <c r="A30" s="19"/>
      <c r="B30" s="90"/>
      <c r="C30" s="12"/>
      <c r="D30" s="10"/>
      <c r="E30" s="26" t="s">
        <v>29</v>
      </c>
      <c r="F30" s="39">
        <f t="shared" ref="F30:O30" si="9">SUM(F27:F29)</f>
        <v>102862.09357170016</v>
      </c>
      <c r="G30" s="39">
        <f t="shared" si="9"/>
        <v>328234.45352301211</v>
      </c>
      <c r="H30" s="39">
        <f t="shared" si="9"/>
        <v>627641.87366720848</v>
      </c>
      <c r="I30" s="39">
        <f t="shared" si="9"/>
        <v>896700.00024196366</v>
      </c>
      <c r="J30" s="39">
        <f t="shared" si="9"/>
        <v>1167740.0828767689</v>
      </c>
      <c r="K30" s="39">
        <f t="shared" si="9"/>
        <v>1441995.1173076313</v>
      </c>
      <c r="L30" s="39">
        <f t="shared" si="9"/>
        <v>1719540.1828788342</v>
      </c>
      <c r="M30" s="39">
        <f t="shared" si="9"/>
        <v>2000415.7624970358</v>
      </c>
      <c r="N30" s="39">
        <f t="shared" si="9"/>
        <v>2284661.8484001979</v>
      </c>
      <c r="O30" s="39">
        <f t="shared" si="9"/>
        <v>2572318.8873178046</v>
      </c>
      <c r="P30" s="39">
        <f>SUM(F30:O30)</f>
        <v>13142110.302282156</v>
      </c>
      <c r="Q30" s="11"/>
      <c r="R30" s="42"/>
    </row>
    <row r="31" spans="1:18" ht="15.75" customHeight="1">
      <c r="A31" s="19"/>
      <c r="B31" s="90"/>
      <c r="C31" s="12"/>
      <c r="D31" s="10"/>
      <c r="E31" s="26" t="s">
        <v>30</v>
      </c>
      <c r="F31" s="34">
        <f t="shared" ref="F31:P31" si="10">F30/F22</f>
        <v>5.5782046405477306E-2</v>
      </c>
      <c r="G31" s="34">
        <f t="shared" si="10"/>
        <v>5.0254469379992325E-2</v>
      </c>
      <c r="H31" s="34">
        <f t="shared" si="10"/>
        <v>5.5665967287942174E-2</v>
      </c>
      <c r="I31" s="34">
        <f t="shared" si="10"/>
        <v>5.5779608744009002E-2</v>
      </c>
      <c r="J31" s="34">
        <f t="shared" si="10"/>
        <v>5.5781995214586516E-2</v>
      </c>
      <c r="K31" s="34">
        <f t="shared" si="10"/>
        <v>5.5782045330468585E-2</v>
      </c>
      <c r="L31" s="34">
        <f t="shared" si="10"/>
        <v>5.5782046382902128E-2</v>
      </c>
      <c r="M31" s="34">
        <f t="shared" si="10"/>
        <v>5.5782046405003248E-2</v>
      </c>
      <c r="N31" s="34">
        <f t="shared" si="10"/>
        <v>5.5782046405467342E-2</v>
      </c>
      <c r="O31" s="34">
        <f t="shared" si="10"/>
        <v>5.5782046405477084E-2</v>
      </c>
      <c r="P31" s="34">
        <f t="shared" si="10"/>
        <v>5.5623531344913824E-2</v>
      </c>
      <c r="Q31" s="11"/>
      <c r="R31" s="13"/>
    </row>
    <row r="32" spans="1:18" ht="15.75" customHeight="1">
      <c r="A32" s="19"/>
      <c r="B32" s="12"/>
      <c r="C32" s="12"/>
      <c r="D32" s="1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2"/>
      <c r="R32" s="13"/>
    </row>
    <row r="33" spans="1:18" ht="15.75" customHeight="1">
      <c r="A33" s="19"/>
      <c r="B33" s="12"/>
      <c r="C33" s="12"/>
      <c r="D33" s="12"/>
      <c r="E33" s="12"/>
      <c r="F33" s="43"/>
      <c r="G33" s="12"/>
      <c r="H33" s="12"/>
      <c r="I33" s="12"/>
      <c r="J33" s="43"/>
      <c r="K33" s="12"/>
      <c r="L33" s="12"/>
      <c r="M33" s="12"/>
      <c r="N33" s="12"/>
      <c r="O33" s="12"/>
      <c r="P33" s="12"/>
      <c r="Q33" s="12"/>
      <c r="R33" s="13"/>
    </row>
    <row r="34" spans="1:18" ht="15.75" customHeight="1">
      <c r="A34" s="19"/>
      <c r="B34" s="12"/>
      <c r="C34" s="12"/>
      <c r="D34" s="12"/>
      <c r="E34" s="12"/>
      <c r="F34" s="4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</row>
    <row r="35" spans="1:18" ht="15.75" customHeight="1">
      <c r="A35" s="19"/>
      <c r="B35" s="12"/>
      <c r="C35" s="12"/>
      <c r="D35" s="12"/>
      <c r="E35" s="12"/>
      <c r="F35" s="4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</row>
    <row r="36" spans="1:18" ht="15.75" customHeight="1">
      <c r="A36" s="19"/>
      <c r="B36" s="12"/>
      <c r="C36" s="12"/>
      <c r="D36" s="12"/>
      <c r="E36" s="12"/>
      <c r="F36" s="4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</row>
    <row r="37" spans="1:18" ht="15.75" customHeight="1">
      <c r="A37" s="44"/>
      <c r="B37" s="45"/>
      <c r="C37" s="45"/>
      <c r="D37" s="45"/>
      <c r="E37" s="45"/>
      <c r="F37" s="46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7"/>
    </row>
  </sheetData>
  <mergeCells count="6">
    <mergeCell ref="B26:B31"/>
    <mergeCell ref="B11:B17"/>
    <mergeCell ref="A1:B1"/>
    <mergeCell ref="E1:P4"/>
    <mergeCell ref="B8:C8"/>
    <mergeCell ref="B22:C23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3"/>
  <sheetViews>
    <sheetView showGridLines="0" tabSelected="1" workbookViewId="0">
      <selection activeCell="C27" sqref="C27"/>
    </sheetView>
  </sheetViews>
  <sheetFormatPr defaultColWidth="12.42578125" defaultRowHeight="15" customHeight="1"/>
  <cols>
    <col min="1" max="1" width="30.42578125" style="48" customWidth="1"/>
    <col min="2" max="2" width="15.28515625" style="48" customWidth="1"/>
    <col min="3" max="3" width="17.140625" style="48" customWidth="1"/>
    <col min="4" max="4" width="16.42578125" style="48" customWidth="1"/>
    <col min="5" max="5" width="17" style="48" customWidth="1"/>
    <col min="6" max="6" width="17.28515625" style="48" customWidth="1"/>
    <col min="7" max="7" width="13.140625" style="48" customWidth="1"/>
    <col min="8" max="8" width="19" style="48" customWidth="1"/>
    <col min="9" max="9" width="31.42578125" style="48" customWidth="1"/>
    <col min="10" max="10" width="19.42578125" style="48" customWidth="1"/>
    <col min="11" max="11" width="19.7109375" style="48" customWidth="1"/>
    <col min="12" max="12" width="17.42578125" style="48" customWidth="1"/>
    <col min="13" max="13" width="18.42578125" style="48" customWidth="1"/>
    <col min="14" max="14" width="12.42578125" style="48" customWidth="1"/>
    <col min="15" max="16384" width="12.42578125" style="48"/>
  </cols>
  <sheetData>
    <row r="1" spans="1:13" ht="34.5" customHeight="1">
      <c r="A1" s="49" t="s">
        <v>36</v>
      </c>
      <c r="B1" s="50">
        <v>48411</v>
      </c>
      <c r="C1" s="50">
        <v>48412</v>
      </c>
      <c r="D1" s="50">
        <v>48422</v>
      </c>
      <c r="E1" s="50">
        <v>49222</v>
      </c>
      <c r="F1" s="51" t="s">
        <v>37</v>
      </c>
      <c r="G1" s="52" t="s">
        <v>38</v>
      </c>
      <c r="H1" s="53"/>
      <c r="I1" s="111" t="s">
        <v>39</v>
      </c>
      <c r="J1" s="112"/>
      <c r="K1" s="112"/>
      <c r="L1" s="112"/>
      <c r="M1" s="113"/>
    </row>
    <row r="2" spans="1:13" ht="24.6" customHeight="1">
      <c r="A2" s="54" t="s">
        <v>40</v>
      </c>
      <c r="B2" s="55" t="s">
        <v>41</v>
      </c>
      <c r="C2" s="56" t="s">
        <v>42</v>
      </c>
      <c r="D2" s="55" t="s">
        <v>43</v>
      </c>
      <c r="E2" s="56" t="s">
        <v>44</v>
      </c>
      <c r="F2" s="55" t="s">
        <v>45</v>
      </c>
      <c r="G2" s="57"/>
      <c r="H2" s="9"/>
      <c r="I2" s="12"/>
      <c r="J2" s="58" t="s">
        <v>41</v>
      </c>
      <c r="K2" s="58" t="s">
        <v>46</v>
      </c>
      <c r="L2" s="58" t="s">
        <v>47</v>
      </c>
      <c r="M2" s="59" t="s">
        <v>44</v>
      </c>
    </row>
    <row r="3" spans="1:13" ht="15.75" customHeight="1">
      <c r="A3" s="54" t="s">
        <v>48</v>
      </c>
      <c r="B3" s="60">
        <v>86.6</v>
      </c>
      <c r="C3" s="61">
        <v>262.89999999999998</v>
      </c>
      <c r="D3" s="60">
        <v>56.1</v>
      </c>
      <c r="E3" s="61">
        <v>151.6</v>
      </c>
      <c r="F3" s="60">
        <f>SUM(B3:E3)</f>
        <v>557.20000000000005</v>
      </c>
      <c r="G3" s="57"/>
      <c r="H3" s="9"/>
      <c r="I3" s="62" t="s">
        <v>49</v>
      </c>
      <c r="J3" s="63">
        <f>B3*1000000000</f>
        <v>86600000000</v>
      </c>
      <c r="K3" s="63">
        <f>C3*1000000000</f>
        <v>262899999999.99997</v>
      </c>
      <c r="L3" s="63">
        <f>D3*1000000000</f>
        <v>56100000000</v>
      </c>
      <c r="M3" s="63">
        <f>E3*1000000000</f>
        <v>151600000000</v>
      </c>
    </row>
    <row r="4" spans="1:13" ht="15.75" customHeight="1">
      <c r="A4" s="54" t="s">
        <v>50</v>
      </c>
      <c r="B4" s="64">
        <v>8.0000000000000002E-3</v>
      </c>
      <c r="C4" s="65">
        <v>1.2E-2</v>
      </c>
      <c r="D4" s="64">
        <v>1.9E-2</v>
      </c>
      <c r="E4" s="65">
        <v>3.5999999999999997E-2</v>
      </c>
      <c r="F4" s="64">
        <v>1.9E-2</v>
      </c>
      <c r="G4" s="57"/>
      <c r="H4" s="9"/>
      <c r="I4" s="62" t="s">
        <v>51</v>
      </c>
      <c r="J4" s="63">
        <f>J3/B7</f>
        <v>282084.69055374595</v>
      </c>
      <c r="K4" s="63">
        <f>K3/C7</f>
        <v>461228.07017543854</v>
      </c>
      <c r="L4" s="63">
        <f>L3/D7</f>
        <v>863076.92307692312</v>
      </c>
      <c r="M4" s="63">
        <f>M3/E7</f>
        <v>364423.07692307694</v>
      </c>
    </row>
    <row r="5" spans="1:13" ht="15.75" customHeight="1">
      <c r="A5" s="54" t="s">
        <v>52</v>
      </c>
      <c r="B5" s="60">
        <v>5.7</v>
      </c>
      <c r="C5" s="61">
        <v>13.7</v>
      </c>
      <c r="D5" s="60">
        <v>3.6</v>
      </c>
      <c r="E5" s="61">
        <v>10.199999999999999</v>
      </c>
      <c r="F5" s="60">
        <f>SUM(B5:E5)</f>
        <v>33.200000000000003</v>
      </c>
      <c r="G5" s="57"/>
      <c r="H5" s="9"/>
      <c r="I5" s="12"/>
      <c r="J5" s="16"/>
      <c r="K5" s="16"/>
      <c r="L5" s="16"/>
      <c r="M5" s="66"/>
    </row>
    <row r="6" spans="1:13" ht="15.75" customHeight="1">
      <c r="A6" s="54" t="s">
        <v>53</v>
      </c>
      <c r="B6" s="64">
        <v>6.6000000000000003E-2</v>
      </c>
      <c r="C6" s="65">
        <v>5.1999999999999998E-2</v>
      </c>
      <c r="D6" s="64">
        <v>6.4000000000000001E-2</v>
      </c>
      <c r="E6" s="65">
        <v>6.7000000000000004E-2</v>
      </c>
      <c r="F6" s="64">
        <f>F5/F3</f>
        <v>5.9583632447954053E-2</v>
      </c>
      <c r="G6" s="57"/>
      <c r="H6" s="9"/>
      <c r="I6" s="12"/>
      <c r="J6" s="12"/>
      <c r="K6" s="12"/>
      <c r="L6" s="12"/>
      <c r="M6" s="13"/>
    </row>
    <row r="7" spans="1:13" ht="15.75" customHeight="1">
      <c r="A7" s="54" t="s">
        <v>54</v>
      </c>
      <c r="B7" s="67">
        <v>307000</v>
      </c>
      <c r="C7" s="68">
        <v>570000</v>
      </c>
      <c r="D7" s="69">
        <v>65000</v>
      </c>
      <c r="E7" s="68">
        <v>416000</v>
      </c>
      <c r="F7" s="67">
        <f>SUM(B7:E7)</f>
        <v>1358000</v>
      </c>
      <c r="G7" s="57"/>
      <c r="H7" s="9"/>
      <c r="I7" s="12"/>
      <c r="J7" s="12"/>
      <c r="K7" s="12"/>
      <c r="L7" s="12"/>
      <c r="M7" s="13"/>
    </row>
    <row r="8" spans="1:13" ht="15.75" customHeight="1">
      <c r="A8" s="54" t="s">
        <v>55</v>
      </c>
      <c r="B8" s="64">
        <v>4.2999999999999997E-2</v>
      </c>
      <c r="C8" s="65">
        <v>4.2000000000000003E-2</v>
      </c>
      <c r="D8" s="64">
        <v>1.7999999999999999E-2</v>
      </c>
      <c r="E8" s="65">
        <v>7.9000000000000001E-2</v>
      </c>
      <c r="F8" s="64">
        <v>5.2999999999999999E-2</v>
      </c>
      <c r="G8" s="57"/>
      <c r="H8" s="9"/>
      <c r="I8" s="12"/>
      <c r="J8" s="12"/>
      <c r="K8" s="12"/>
      <c r="L8" s="12"/>
      <c r="M8" s="13"/>
    </row>
    <row r="9" spans="1:13" ht="15.75" customHeight="1">
      <c r="A9" s="54" t="s">
        <v>56</v>
      </c>
      <c r="B9" s="67">
        <v>562000</v>
      </c>
      <c r="C9" s="70">
        <v>1000000</v>
      </c>
      <c r="D9" s="67">
        <v>290000</v>
      </c>
      <c r="E9" s="70">
        <v>1000000</v>
      </c>
      <c r="F9" s="67">
        <f>SUM(B9:E9)</f>
        <v>2852000</v>
      </c>
      <c r="G9" s="57"/>
      <c r="H9" s="9"/>
      <c r="I9" s="12"/>
      <c r="J9" s="12"/>
      <c r="K9" s="12"/>
      <c r="L9" s="12"/>
      <c r="M9" s="13"/>
    </row>
    <row r="10" spans="1:13" ht="15.75" customHeight="1">
      <c r="A10" s="54" t="s">
        <v>57</v>
      </c>
      <c r="B10" s="64">
        <v>5.1999999999999998E-2</v>
      </c>
      <c r="C10" s="65">
        <v>2.3E-2</v>
      </c>
      <c r="D10" s="64">
        <v>2.1000000000000001E-2</v>
      </c>
      <c r="E10" s="65">
        <v>4.7E-2</v>
      </c>
      <c r="F10" s="64">
        <v>3.6999999999999998E-2</v>
      </c>
      <c r="G10" s="57"/>
      <c r="H10" s="9"/>
      <c r="I10" s="12"/>
      <c r="J10" s="12"/>
      <c r="K10" s="12"/>
      <c r="L10" s="12"/>
      <c r="M10" s="13"/>
    </row>
    <row r="11" spans="1:13" ht="15.75" customHeight="1">
      <c r="A11" s="54" t="s">
        <v>58</v>
      </c>
      <c r="B11" s="60">
        <v>23.3</v>
      </c>
      <c r="C11" s="61">
        <v>69.2</v>
      </c>
      <c r="D11" s="60">
        <v>15.4</v>
      </c>
      <c r="E11" s="61">
        <v>43.9</v>
      </c>
      <c r="F11" s="60">
        <f>SUM(B11:E11)</f>
        <v>151.80000000000001</v>
      </c>
      <c r="G11" s="57"/>
      <c r="H11" s="9"/>
      <c r="I11" s="12"/>
      <c r="J11" s="12"/>
      <c r="K11" s="12"/>
      <c r="L11" s="12"/>
      <c r="M11" s="13"/>
    </row>
    <row r="12" spans="1:13" ht="15.75" customHeight="1">
      <c r="A12" s="54" t="s">
        <v>59</v>
      </c>
      <c r="B12" s="64">
        <v>3.9E-2</v>
      </c>
      <c r="C12" s="65">
        <v>2.1000000000000001E-2</v>
      </c>
      <c r="D12" s="64">
        <v>2.1000000000000001E-2</v>
      </c>
      <c r="E12" s="65">
        <v>4.4999999999999998E-2</v>
      </c>
      <c r="F12" s="64">
        <v>3.1E-2</v>
      </c>
      <c r="G12" s="57"/>
      <c r="H12" s="9"/>
      <c r="I12" s="12"/>
      <c r="J12" s="12"/>
      <c r="K12" s="12"/>
      <c r="L12" s="12"/>
      <c r="M12" s="13"/>
    </row>
    <row r="13" spans="1:13" ht="15.75" customHeight="1">
      <c r="A13" s="54" t="s">
        <v>60</v>
      </c>
      <c r="B13" s="64">
        <f>23.3/86.6</f>
        <v>0.26905311778290997</v>
      </c>
      <c r="C13" s="65">
        <f>69.2/262.9</f>
        <v>0.26321795359452266</v>
      </c>
      <c r="D13" s="64">
        <f>15.4/56.1</f>
        <v>0.27450980392156865</v>
      </c>
      <c r="E13" s="65">
        <f>43.9/151.6</f>
        <v>0.2895778364116095</v>
      </c>
      <c r="F13" s="64">
        <f>F11/F3</f>
        <v>0.27243359655419958</v>
      </c>
      <c r="G13" s="71">
        <v>0.26319999999999999</v>
      </c>
      <c r="H13" s="9"/>
      <c r="I13" s="12"/>
      <c r="J13" s="12"/>
      <c r="K13" s="12"/>
      <c r="L13" s="12"/>
      <c r="M13" s="13"/>
    </row>
    <row r="14" spans="1:13" ht="15.75" customHeight="1">
      <c r="A14" s="72" t="s">
        <v>61</v>
      </c>
      <c r="B14" s="73">
        <v>0.314</v>
      </c>
      <c r="C14" s="71">
        <v>0.315</v>
      </c>
      <c r="D14" s="73">
        <v>0.30599999999999999</v>
      </c>
      <c r="E14" s="71">
        <v>7.8E-2</v>
      </c>
      <c r="F14" s="73">
        <v>0.249456748025843</v>
      </c>
      <c r="G14" s="71">
        <v>7.8E-2</v>
      </c>
      <c r="H14" s="9"/>
      <c r="I14" s="12"/>
      <c r="J14" s="12"/>
      <c r="K14" s="12"/>
      <c r="L14" s="12"/>
      <c r="M14" s="13"/>
    </row>
    <row r="15" spans="1:13" ht="15.75" customHeight="1">
      <c r="A15" s="72" t="s">
        <v>62</v>
      </c>
      <c r="B15" s="73">
        <v>2E-3</v>
      </c>
      <c r="C15" s="71">
        <v>2E-3</v>
      </c>
      <c r="D15" s="73">
        <v>2E-3</v>
      </c>
      <c r="E15" s="71">
        <v>3.0000000000000001E-3</v>
      </c>
      <c r="F15" s="73">
        <v>2.27207465900933E-3</v>
      </c>
      <c r="G15" s="71">
        <v>2E-3</v>
      </c>
      <c r="H15" s="9"/>
      <c r="I15" s="12"/>
      <c r="J15" s="12"/>
      <c r="K15" s="12"/>
      <c r="L15" s="12"/>
      <c r="M15" s="13"/>
    </row>
    <row r="16" spans="1:13" ht="15.75" customHeight="1">
      <c r="A16" s="72" t="s">
        <v>63</v>
      </c>
      <c r="B16" s="74">
        <v>0.05</v>
      </c>
      <c r="C16" s="71">
        <v>6.7000000000000004E-2</v>
      </c>
      <c r="D16" s="73">
        <v>6.2E-2</v>
      </c>
      <c r="E16" s="71">
        <v>1.6E-2</v>
      </c>
      <c r="F16" s="73">
        <v>4.99786432160804E-2</v>
      </c>
      <c r="G16" s="71">
        <v>1.6E-2</v>
      </c>
      <c r="H16" s="9"/>
      <c r="I16" s="12"/>
      <c r="J16" s="12"/>
      <c r="K16" s="12"/>
      <c r="L16" s="12"/>
      <c r="M16" s="13"/>
    </row>
    <row r="17" spans="1:13" ht="15.75" customHeight="1">
      <c r="A17" s="72" t="s">
        <v>64</v>
      </c>
      <c r="B17" s="73">
        <v>4.2999999999999997E-2</v>
      </c>
      <c r="C17" s="71">
        <v>4.3999999999999997E-2</v>
      </c>
      <c r="D17" s="73">
        <v>4.2000000000000003E-2</v>
      </c>
      <c r="E17" s="71">
        <v>3.6999999999999998E-2</v>
      </c>
      <c r="F17" s="73">
        <v>4.1738693467336697E-2</v>
      </c>
      <c r="G17" s="71">
        <v>3.6999999999999998E-2</v>
      </c>
      <c r="H17" s="109" t="s">
        <v>65</v>
      </c>
      <c r="I17" s="12"/>
      <c r="J17" s="12"/>
      <c r="K17" s="12"/>
      <c r="L17" s="12"/>
      <c r="M17" s="13"/>
    </row>
    <row r="18" spans="1:13" ht="15.75" customHeight="1">
      <c r="A18" s="72" t="s">
        <v>66</v>
      </c>
      <c r="B18" s="73">
        <v>0.252</v>
      </c>
      <c r="C18" s="71">
        <v>0.253</v>
      </c>
      <c r="D18" s="73">
        <v>0.245</v>
      </c>
      <c r="E18" s="75">
        <v>0.56000000000000005</v>
      </c>
      <c r="F18" s="73">
        <v>0.335566044508256</v>
      </c>
      <c r="G18" s="71">
        <v>0.245</v>
      </c>
      <c r="H18" s="110"/>
      <c r="I18" s="12"/>
      <c r="J18" s="12"/>
      <c r="K18" s="12"/>
      <c r="L18" s="12"/>
      <c r="M18" s="13"/>
    </row>
    <row r="19" spans="1:13" ht="15.75" customHeight="1">
      <c r="A19" s="72" t="s">
        <v>67</v>
      </c>
      <c r="B19" s="76">
        <f t="shared" ref="B19:G19" si="0">SUM(B13:B18)</f>
        <v>0.93005311778291</v>
      </c>
      <c r="C19" s="76">
        <f t="shared" si="0"/>
        <v>0.94421795359452265</v>
      </c>
      <c r="D19" s="76">
        <f t="shared" si="0"/>
        <v>0.93150980392156868</v>
      </c>
      <c r="E19" s="76">
        <f t="shared" si="0"/>
        <v>0.98357783641160956</v>
      </c>
      <c r="F19" s="76">
        <f t="shared" si="0"/>
        <v>0.95144580043072502</v>
      </c>
      <c r="G19" s="76">
        <f t="shared" si="0"/>
        <v>0.64119999999999999</v>
      </c>
      <c r="H19" s="77">
        <f>1-G19</f>
        <v>0.35880000000000001</v>
      </c>
      <c r="I19" s="9"/>
      <c r="J19" s="12"/>
      <c r="K19" s="12"/>
      <c r="L19" s="12"/>
      <c r="M19" s="13"/>
    </row>
    <row r="20" spans="1:13" ht="25.5" customHeight="1">
      <c r="A20" s="78" t="s">
        <v>68</v>
      </c>
      <c r="B20" s="79">
        <f>B3*(1+B4)^5</f>
        <v>90.119869168405714</v>
      </c>
      <c r="C20" s="80">
        <f>C3*(1+C4)^5</f>
        <v>279.0571462348899</v>
      </c>
      <c r="D20" s="79">
        <f>D3*(1+D4)^5</f>
        <v>61.635905592949634</v>
      </c>
      <c r="E20" s="80">
        <f>E3*(1+E4)^5</f>
        <v>180.9247488116003</v>
      </c>
      <c r="F20" s="79">
        <f>SUM(B20:E20)</f>
        <v>611.73766980784558</v>
      </c>
      <c r="G20" s="81"/>
      <c r="H20" s="16"/>
      <c r="I20" s="12"/>
      <c r="J20" s="12"/>
      <c r="K20" s="12"/>
      <c r="L20" s="12"/>
      <c r="M20" s="13"/>
    </row>
    <row r="21" spans="1:13" ht="25.5" customHeight="1">
      <c r="A21" s="82" t="s">
        <v>69</v>
      </c>
      <c r="B21" s="83">
        <f>B7*(1+B8)^5</f>
        <v>378930.8094811269</v>
      </c>
      <c r="C21" s="71">
        <f>C7*(1+C8)^5</f>
        <v>700186.04442760244</v>
      </c>
      <c r="D21" s="73">
        <f>D7*(1+D8)^5</f>
        <v>71064.425040021932</v>
      </c>
      <c r="E21" s="71">
        <f>E7*(1+E8)^5</f>
        <v>608415.89846394176</v>
      </c>
      <c r="F21" s="84">
        <f>SUM(B21:E21)</f>
        <v>1758597.1774126929</v>
      </c>
      <c r="G21" s="9"/>
      <c r="H21" s="12"/>
      <c r="I21" s="12"/>
      <c r="J21" s="12"/>
      <c r="K21" s="12"/>
      <c r="L21" s="12"/>
      <c r="M21" s="13"/>
    </row>
    <row r="22" spans="1:13" ht="25.5" customHeight="1">
      <c r="A22" s="85" t="s">
        <v>70</v>
      </c>
      <c r="B22" s="84">
        <f>B9*(1+B10)^5</f>
        <v>724127.4562756262</v>
      </c>
      <c r="C22" s="86">
        <f>C9*(1+C10)^5</f>
        <v>1120413.0756413424</v>
      </c>
      <c r="D22" s="84">
        <f>D9*(1+D10)^5</f>
        <v>321756.04008183908</v>
      </c>
      <c r="E22" s="86">
        <f>E9*(1+E10)^5</f>
        <v>1258152.8577500065</v>
      </c>
      <c r="F22" s="84">
        <f>SUM(B22:E22)</f>
        <v>3424449.4297488141</v>
      </c>
      <c r="G22" s="9"/>
      <c r="H22" s="12"/>
      <c r="I22" s="12"/>
      <c r="J22" s="12"/>
      <c r="K22" s="12"/>
      <c r="L22" s="12"/>
      <c r="M22" s="13"/>
    </row>
    <row r="23" spans="1:13" ht="12.75" customHeight="1">
      <c r="A23" s="82" t="s">
        <v>71</v>
      </c>
      <c r="B23" s="79">
        <f>B11*(1+B12)^5</f>
        <v>28.21198594510032</v>
      </c>
      <c r="C23" s="80">
        <f>C11*(1+C12)^5</f>
        <v>76.777648185045749</v>
      </c>
      <c r="D23" s="79">
        <f>D11*(1+D12)^5</f>
        <v>17.086355231932146</v>
      </c>
      <c r="E23" s="80">
        <f>E11*(1+E12)^5</f>
        <v>54.70738706297216</v>
      </c>
      <c r="F23" s="79">
        <f>SUM(B23:E23)</f>
        <v>176.78337642505039</v>
      </c>
      <c r="G23" s="9"/>
      <c r="H23" s="12"/>
      <c r="I23" s="12"/>
      <c r="J23" s="12"/>
      <c r="K23" s="12"/>
      <c r="L23" s="12"/>
      <c r="M23" s="13"/>
    </row>
    <row r="24" spans="1:13" ht="15.75" customHeight="1">
      <c r="A24" s="87"/>
      <c r="B24" s="16"/>
      <c r="C24" s="16"/>
      <c r="D24" s="16"/>
      <c r="E24" s="16"/>
      <c r="F24" s="16"/>
      <c r="G24" s="12"/>
      <c r="H24" s="12"/>
      <c r="I24" s="12"/>
      <c r="J24" s="12"/>
      <c r="K24" s="12"/>
      <c r="L24" s="12"/>
      <c r="M24" s="13"/>
    </row>
    <row r="25" spans="1:13" ht="15.75" customHeight="1">
      <c r="A25" s="8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1:13" ht="15.75" customHeight="1">
      <c r="A26" s="8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</row>
    <row r="27" spans="1:13" ht="15.75" customHeight="1">
      <c r="A27" s="8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15.75" customHeight="1">
      <c r="A28" s="8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ht="15.75" customHeight="1">
      <c r="A29" s="87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ht="15.75" customHeight="1">
      <c r="A30" s="8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</row>
    <row r="31" spans="1:13" ht="15.75" customHeight="1">
      <c r="A31" s="8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</row>
    <row r="32" spans="1:13" ht="15.75" customHeight="1">
      <c r="A32" s="8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</row>
    <row r="33" spans="1:13" ht="15.75" customHeight="1">
      <c r="A33" s="8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</row>
    <row r="34" spans="1:13" ht="15.75" customHeight="1">
      <c r="A34" s="8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3"/>
    </row>
    <row r="35" spans="1:13" ht="15.75" customHeight="1">
      <c r="A35" s="87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</row>
    <row r="36" spans="1:13" ht="15.75" customHeight="1">
      <c r="A36" s="8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</row>
    <row r="37" spans="1:13" ht="15.75" customHeight="1">
      <c r="A37" s="8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/>
    </row>
    <row r="38" spans="1:13" ht="15.75" customHeight="1">
      <c r="A38" s="8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</row>
    <row r="39" spans="1:13" ht="15.75" customHeight="1">
      <c r="A39" s="87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</row>
    <row r="40" spans="1:13" ht="15.75" customHeight="1">
      <c r="A40" s="87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</row>
    <row r="41" spans="1:13" ht="15.75" customHeight="1">
      <c r="A41" s="87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</row>
    <row r="42" spans="1:13" ht="15.75" customHeight="1">
      <c r="A42" s="87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</row>
    <row r="43" spans="1:13" ht="15.75" customHeight="1">
      <c r="A43" s="87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/>
    </row>
    <row r="44" spans="1:13" ht="15.75" customHeight="1">
      <c r="A44" s="87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</row>
    <row r="45" spans="1:13" ht="15.75" customHeight="1">
      <c r="A45" s="87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</row>
    <row r="46" spans="1:13" ht="15.75" customHeight="1">
      <c r="A46" s="87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</row>
    <row r="47" spans="1:13" ht="15.75" customHeight="1">
      <c r="A47" s="8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ht="15.75" customHeight="1">
      <c r="A48" s="8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</row>
    <row r="49" spans="1:13" ht="15.75" customHeight="1">
      <c r="A49" s="8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</row>
    <row r="50" spans="1:13" ht="15.75" customHeight="1">
      <c r="A50" s="87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3"/>
    </row>
    <row r="51" spans="1:13" ht="15.75" customHeight="1">
      <c r="A51" s="87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/>
    </row>
    <row r="52" spans="1:13" ht="15.75" customHeight="1">
      <c r="A52" s="87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</row>
    <row r="53" spans="1:13" ht="15.75" customHeight="1">
      <c r="A53" s="8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</row>
    <row r="54" spans="1:13" ht="15.75" customHeight="1">
      <c r="A54" s="87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/>
    </row>
    <row r="55" spans="1:13" ht="15.75" customHeight="1">
      <c r="A55" s="87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ht="15.75" customHeight="1">
      <c r="A56" s="8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</row>
    <row r="57" spans="1:13" ht="15.75" customHeight="1">
      <c r="A57" s="8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</row>
    <row r="58" spans="1:13" ht="15.75" customHeight="1">
      <c r="A58" s="87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</row>
    <row r="59" spans="1:13" ht="15.75" customHeight="1">
      <c r="A59" s="87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</row>
    <row r="60" spans="1:13" ht="15.75" customHeight="1">
      <c r="A60" s="8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</row>
    <row r="61" spans="1:13" ht="15.75" customHeight="1">
      <c r="A61" s="8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3"/>
    </row>
    <row r="62" spans="1:13" ht="15.75" customHeight="1">
      <c r="A62" s="87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3"/>
    </row>
    <row r="63" spans="1:13" ht="15.75" customHeight="1">
      <c r="A63" s="87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3"/>
    </row>
    <row r="64" spans="1:13" ht="15.75" customHeight="1">
      <c r="A64" s="87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3"/>
    </row>
    <row r="65" spans="1:13" ht="15.75" customHeight="1">
      <c r="A65" s="87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3"/>
    </row>
    <row r="66" spans="1:13" ht="15.75" customHeight="1">
      <c r="A66" s="87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3"/>
    </row>
    <row r="67" spans="1:13" ht="15.75" customHeight="1">
      <c r="A67" s="87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3"/>
    </row>
    <row r="68" spans="1:13" ht="15.75" customHeight="1">
      <c r="A68" s="87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</row>
    <row r="69" spans="1:13" ht="15.75" customHeight="1">
      <c r="A69" s="87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3"/>
    </row>
    <row r="70" spans="1:13" ht="15.75" customHeight="1">
      <c r="A70" s="8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3"/>
    </row>
    <row r="71" spans="1:13" ht="15.75" customHeight="1">
      <c r="A71" s="87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3"/>
    </row>
    <row r="72" spans="1:13" ht="15.75" customHeight="1">
      <c r="A72" s="87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3"/>
    </row>
    <row r="73" spans="1:13" ht="15.75" customHeight="1">
      <c r="A73" s="87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/>
    </row>
    <row r="74" spans="1:13" ht="15.75" customHeight="1">
      <c r="A74" s="87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3"/>
    </row>
    <row r="75" spans="1:13" ht="15.75" customHeight="1">
      <c r="A75" s="87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3"/>
    </row>
    <row r="76" spans="1:13" ht="15.75" customHeight="1">
      <c r="A76" s="87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3"/>
    </row>
    <row r="77" spans="1:13" ht="15.75" customHeight="1">
      <c r="A77" s="87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3"/>
    </row>
    <row r="78" spans="1:13" ht="15.75" customHeight="1">
      <c r="A78" s="8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/>
    </row>
    <row r="79" spans="1:13" ht="15.75" customHeight="1">
      <c r="A79" s="87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3"/>
    </row>
    <row r="80" spans="1:13" ht="15.75" customHeight="1">
      <c r="A80" s="87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3"/>
    </row>
    <row r="81" spans="1:13" ht="15.75" customHeight="1">
      <c r="A81" s="87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3"/>
    </row>
    <row r="82" spans="1:13" ht="15.75" customHeight="1">
      <c r="A82" s="87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3"/>
    </row>
    <row r="83" spans="1:13" ht="15.75" customHeight="1">
      <c r="A83" s="87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3"/>
    </row>
    <row r="84" spans="1:13" ht="15.75" customHeight="1">
      <c r="A84" s="87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3"/>
    </row>
    <row r="85" spans="1:13" ht="15.75" customHeight="1">
      <c r="A85" s="87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3"/>
    </row>
    <row r="86" spans="1:13" ht="15.75" customHeight="1">
      <c r="A86" s="87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3"/>
    </row>
    <row r="87" spans="1:13" ht="15.75" customHeight="1">
      <c r="A87" s="87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3"/>
    </row>
    <row r="88" spans="1:13" ht="15.75" customHeight="1">
      <c r="A88" s="87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3"/>
    </row>
    <row r="89" spans="1:13" ht="15.75" customHeight="1">
      <c r="A89" s="87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3"/>
    </row>
    <row r="90" spans="1:13" ht="15.75" customHeight="1">
      <c r="A90" s="8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3"/>
    </row>
    <row r="91" spans="1:13" ht="15.75" customHeight="1">
      <c r="A91" s="87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3"/>
    </row>
    <row r="92" spans="1:13" ht="15.75" customHeight="1">
      <c r="A92" s="87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3"/>
    </row>
    <row r="93" spans="1:13" ht="15.75" customHeight="1">
      <c r="A93" s="87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3"/>
    </row>
    <row r="94" spans="1:13" ht="15.75" customHeight="1">
      <c r="A94" s="87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3"/>
    </row>
    <row r="95" spans="1:13" ht="15.75" customHeight="1">
      <c r="A95" s="87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3"/>
    </row>
    <row r="96" spans="1:13" ht="15.75" customHeight="1">
      <c r="A96" s="87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3"/>
    </row>
    <row r="97" spans="1:13" ht="15.75" customHeight="1">
      <c r="A97" s="87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3"/>
    </row>
    <row r="98" spans="1:13" ht="15.75" customHeight="1">
      <c r="A98" s="87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3"/>
    </row>
    <row r="99" spans="1:13" ht="15.75" customHeight="1">
      <c r="A99" s="87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3"/>
    </row>
    <row r="100" spans="1:13" ht="15.75" customHeight="1">
      <c r="A100" s="87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3"/>
    </row>
    <row r="101" spans="1:13" ht="15.75" customHeight="1">
      <c r="A101" s="87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3"/>
    </row>
    <row r="102" spans="1:13" ht="15.75" customHeight="1">
      <c r="A102" s="87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3"/>
    </row>
    <row r="103" spans="1:13" ht="15.75" customHeight="1">
      <c r="A103" s="87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3"/>
    </row>
    <row r="104" spans="1:13" ht="15.75" customHeight="1">
      <c r="A104" s="87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3"/>
    </row>
    <row r="105" spans="1:13" ht="15.75" customHeight="1">
      <c r="A105" s="87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3"/>
    </row>
    <row r="106" spans="1:13" ht="15.75" customHeight="1">
      <c r="A106" s="87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3"/>
    </row>
    <row r="107" spans="1:13" ht="15.75" customHeight="1">
      <c r="A107" s="87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3"/>
    </row>
    <row r="108" spans="1:13" ht="15.75" customHeight="1">
      <c r="A108" s="87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3"/>
    </row>
    <row r="109" spans="1:13" ht="15.75" customHeight="1">
      <c r="A109" s="87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3"/>
    </row>
    <row r="110" spans="1:13" ht="15.75" customHeight="1">
      <c r="A110" s="87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3"/>
    </row>
    <row r="111" spans="1:13" ht="15.75" customHeight="1">
      <c r="A111" s="87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3"/>
    </row>
    <row r="112" spans="1:13" ht="15.75" customHeight="1">
      <c r="A112" s="87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3"/>
    </row>
    <row r="113" spans="1:13" ht="15.75" customHeight="1">
      <c r="A113" s="87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3"/>
    </row>
    <row r="114" spans="1:13" ht="15.75" customHeight="1">
      <c r="A114" s="87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3"/>
    </row>
    <row r="115" spans="1:13" ht="15.75" customHeight="1">
      <c r="A115" s="87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3"/>
    </row>
    <row r="116" spans="1:13" ht="15.75" customHeight="1">
      <c r="A116" s="87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3"/>
    </row>
    <row r="117" spans="1:13" ht="15.75" customHeight="1">
      <c r="A117" s="87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3"/>
    </row>
    <row r="118" spans="1:13" ht="15.75" customHeight="1">
      <c r="A118" s="87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3"/>
    </row>
    <row r="119" spans="1:13" ht="15.75" customHeight="1">
      <c r="A119" s="87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3"/>
    </row>
    <row r="120" spans="1:13" ht="15.75" customHeight="1">
      <c r="A120" s="87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3"/>
    </row>
    <row r="121" spans="1:13" ht="15.75" customHeight="1">
      <c r="A121" s="87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3"/>
    </row>
    <row r="122" spans="1:13" ht="15.75" customHeight="1">
      <c r="A122" s="87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3"/>
    </row>
    <row r="123" spans="1:13" ht="15.75" customHeight="1">
      <c r="A123" s="87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3"/>
    </row>
    <row r="124" spans="1:13" ht="15.75" customHeight="1">
      <c r="A124" s="87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3"/>
    </row>
    <row r="125" spans="1:13" ht="15.75" customHeight="1">
      <c r="A125" s="87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3"/>
    </row>
    <row r="126" spans="1:13" ht="15.75" customHeight="1">
      <c r="A126" s="87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3"/>
    </row>
    <row r="127" spans="1:13" ht="15.75" customHeight="1">
      <c r="A127" s="87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3"/>
    </row>
    <row r="128" spans="1:13" ht="15.75" customHeight="1">
      <c r="A128" s="87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3"/>
    </row>
    <row r="129" spans="1:13" ht="15.75" customHeight="1">
      <c r="A129" s="87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3"/>
    </row>
    <row r="130" spans="1:13" ht="15.75" customHeight="1">
      <c r="A130" s="87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3"/>
    </row>
    <row r="131" spans="1:13" ht="15.75" customHeight="1">
      <c r="A131" s="87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3"/>
    </row>
    <row r="132" spans="1:13" ht="15.75" customHeight="1">
      <c r="A132" s="87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3"/>
    </row>
    <row r="133" spans="1:13" ht="15.75" customHeight="1">
      <c r="A133" s="87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3"/>
    </row>
    <row r="134" spans="1:13" ht="15.75" customHeight="1">
      <c r="A134" s="87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3"/>
    </row>
    <row r="135" spans="1:13" ht="15.75" customHeight="1">
      <c r="A135" s="87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3"/>
    </row>
    <row r="136" spans="1:13" ht="15.75" customHeight="1">
      <c r="A136" s="87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3"/>
    </row>
    <row r="137" spans="1:13" ht="15.75" customHeight="1">
      <c r="A137" s="87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3"/>
    </row>
    <row r="138" spans="1:13" ht="15.75" customHeight="1">
      <c r="A138" s="87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3"/>
    </row>
    <row r="139" spans="1:13" ht="15.75" customHeight="1">
      <c r="A139" s="87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3"/>
    </row>
    <row r="140" spans="1:13" ht="15.75" customHeight="1">
      <c r="A140" s="87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3"/>
    </row>
    <row r="141" spans="1:13" ht="15.75" customHeight="1">
      <c r="A141" s="87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3"/>
    </row>
    <row r="142" spans="1:13" ht="15.75" customHeight="1">
      <c r="A142" s="87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3"/>
    </row>
    <row r="143" spans="1:13" ht="15.75" customHeight="1">
      <c r="A143" s="87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3"/>
    </row>
    <row r="144" spans="1:13" ht="15.75" customHeight="1">
      <c r="A144" s="87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3"/>
    </row>
    <row r="145" spans="1:13" ht="15.75" customHeight="1">
      <c r="A145" s="87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3"/>
    </row>
    <row r="146" spans="1:13" ht="15.75" customHeight="1">
      <c r="A146" s="87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3"/>
    </row>
    <row r="147" spans="1:13" ht="15.75" customHeight="1">
      <c r="A147" s="87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3"/>
    </row>
    <row r="148" spans="1:13" ht="15.75" customHeight="1">
      <c r="A148" s="87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3"/>
    </row>
    <row r="149" spans="1:13" ht="15.75" customHeight="1">
      <c r="A149" s="87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3"/>
    </row>
    <row r="150" spans="1:13" ht="15.75" customHeight="1">
      <c r="A150" s="87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3"/>
    </row>
    <row r="151" spans="1:13" ht="15.75" customHeight="1">
      <c r="A151" s="87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3"/>
    </row>
    <row r="152" spans="1:13" ht="15.75" customHeight="1">
      <c r="A152" s="87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3"/>
    </row>
    <row r="153" spans="1:13" ht="15.75" customHeight="1">
      <c r="A153" s="87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3"/>
    </row>
    <row r="154" spans="1:13" ht="15.75" customHeight="1">
      <c r="A154" s="87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3"/>
    </row>
    <row r="155" spans="1:13" ht="15.75" customHeight="1">
      <c r="A155" s="87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3"/>
    </row>
    <row r="156" spans="1:13" ht="15.75" customHeight="1">
      <c r="A156" s="87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3"/>
    </row>
    <row r="157" spans="1:13" ht="15.75" customHeight="1">
      <c r="A157" s="87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3"/>
    </row>
    <row r="158" spans="1:13" ht="15.75" customHeight="1">
      <c r="A158" s="87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3"/>
    </row>
    <row r="159" spans="1:13" ht="15.75" customHeight="1">
      <c r="A159" s="87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3"/>
    </row>
    <row r="160" spans="1:13" ht="15.75" customHeight="1">
      <c r="A160" s="87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3"/>
    </row>
    <row r="161" spans="1:13" ht="15.75" customHeight="1">
      <c r="A161" s="87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3"/>
    </row>
    <row r="162" spans="1:13" ht="15.75" customHeight="1">
      <c r="A162" s="87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3"/>
    </row>
    <row r="163" spans="1:13" ht="15.75" customHeight="1">
      <c r="A163" s="87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3"/>
    </row>
    <row r="164" spans="1:13" ht="15.75" customHeight="1">
      <c r="A164" s="87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3"/>
    </row>
    <row r="165" spans="1:13" ht="15.75" customHeight="1">
      <c r="A165" s="87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3"/>
    </row>
    <row r="166" spans="1:13" ht="15.75" customHeight="1">
      <c r="A166" s="87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3"/>
    </row>
    <row r="167" spans="1:13" ht="15.75" customHeight="1">
      <c r="A167" s="87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3"/>
    </row>
    <row r="168" spans="1:13" ht="15.75" customHeight="1">
      <c r="A168" s="87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3"/>
    </row>
    <row r="169" spans="1:13" ht="15.75" customHeight="1">
      <c r="A169" s="87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3"/>
    </row>
    <row r="170" spans="1:13" ht="15.75" customHeight="1">
      <c r="A170" s="87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3"/>
    </row>
    <row r="171" spans="1:13" ht="15.75" customHeight="1">
      <c r="A171" s="87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3"/>
    </row>
    <row r="172" spans="1:13" ht="15.75" customHeight="1">
      <c r="A172" s="87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3"/>
    </row>
    <row r="173" spans="1:13" ht="15.75" customHeight="1">
      <c r="A173" s="87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3"/>
    </row>
    <row r="174" spans="1:13" ht="15.75" customHeight="1">
      <c r="A174" s="87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3"/>
    </row>
    <row r="175" spans="1:13" ht="15.75" customHeight="1">
      <c r="A175" s="87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3"/>
    </row>
    <row r="176" spans="1:13" ht="15.75" customHeight="1">
      <c r="A176" s="87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3"/>
    </row>
    <row r="177" spans="1:13" ht="15.75" customHeight="1">
      <c r="A177" s="87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3"/>
    </row>
    <row r="178" spans="1:13" ht="15.75" customHeight="1">
      <c r="A178" s="87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3"/>
    </row>
    <row r="179" spans="1:13" ht="15.75" customHeight="1">
      <c r="A179" s="87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3"/>
    </row>
    <row r="180" spans="1:13" ht="15.75" customHeight="1">
      <c r="A180" s="87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3"/>
    </row>
    <row r="181" spans="1:13" ht="15.75" customHeight="1">
      <c r="A181" s="87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3"/>
    </row>
    <row r="182" spans="1:13" ht="15.75" customHeight="1">
      <c r="A182" s="87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3"/>
    </row>
    <row r="183" spans="1:13" ht="15.75" customHeight="1">
      <c r="A183" s="87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3"/>
    </row>
    <row r="184" spans="1:13" ht="15.75" customHeight="1">
      <c r="A184" s="87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3"/>
    </row>
    <row r="185" spans="1:13" ht="15.75" customHeight="1">
      <c r="A185" s="87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3"/>
    </row>
    <row r="186" spans="1:13" ht="15.75" customHeight="1">
      <c r="A186" s="87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3"/>
    </row>
    <row r="187" spans="1:13" ht="15.75" customHeight="1">
      <c r="A187" s="87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3"/>
    </row>
    <row r="188" spans="1:13" ht="15.75" customHeight="1">
      <c r="A188" s="87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3"/>
    </row>
    <row r="189" spans="1:13" ht="15.75" customHeight="1">
      <c r="A189" s="87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3"/>
    </row>
    <row r="190" spans="1:13" ht="15.75" customHeight="1">
      <c r="A190" s="87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3"/>
    </row>
    <row r="191" spans="1:13" ht="15.75" customHeight="1">
      <c r="A191" s="87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3"/>
    </row>
    <row r="192" spans="1:13" ht="15.75" customHeight="1">
      <c r="A192" s="87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3"/>
    </row>
    <row r="193" spans="1:13" ht="15.75" customHeight="1">
      <c r="A193" s="87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3"/>
    </row>
    <row r="194" spans="1:13" ht="15.75" customHeight="1">
      <c r="A194" s="87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3"/>
    </row>
    <row r="195" spans="1:13" ht="15.75" customHeight="1">
      <c r="A195" s="87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3"/>
    </row>
    <row r="196" spans="1:13" ht="15.75" customHeight="1">
      <c r="A196" s="87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3"/>
    </row>
    <row r="197" spans="1:13" ht="15.75" customHeight="1">
      <c r="A197" s="87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3"/>
    </row>
    <row r="198" spans="1:13" ht="15.75" customHeight="1">
      <c r="A198" s="87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3"/>
    </row>
    <row r="199" spans="1:13" ht="15.75" customHeight="1">
      <c r="A199" s="87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3"/>
    </row>
    <row r="200" spans="1:13" ht="15.75" customHeight="1">
      <c r="A200" s="87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3"/>
    </row>
    <row r="201" spans="1:13" ht="15.75" customHeight="1">
      <c r="A201" s="87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3"/>
    </row>
    <row r="202" spans="1:13" ht="15.75" customHeight="1">
      <c r="A202" s="87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3"/>
    </row>
    <row r="203" spans="1:13" ht="15.75" customHeight="1">
      <c r="A203" s="87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3"/>
    </row>
    <row r="204" spans="1:13" ht="15.75" customHeight="1">
      <c r="A204" s="87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3"/>
    </row>
    <row r="205" spans="1:13" ht="15.75" customHeight="1">
      <c r="A205" s="87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3"/>
    </row>
    <row r="206" spans="1:13" ht="15.75" customHeight="1">
      <c r="A206" s="87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3"/>
    </row>
    <row r="207" spans="1:13" ht="15.75" customHeight="1">
      <c r="A207" s="87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3"/>
    </row>
    <row r="208" spans="1:13" ht="15.75" customHeight="1">
      <c r="A208" s="87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3"/>
    </row>
    <row r="209" spans="1:13" ht="15.75" customHeight="1">
      <c r="A209" s="87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3"/>
    </row>
    <row r="210" spans="1:13" ht="15.75" customHeight="1">
      <c r="A210" s="87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3"/>
    </row>
    <row r="211" spans="1:13" ht="15.75" customHeight="1">
      <c r="A211" s="87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3"/>
    </row>
    <row r="212" spans="1:13" ht="15.75" customHeight="1">
      <c r="A212" s="87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3"/>
    </row>
    <row r="213" spans="1:13" ht="15.75" customHeight="1">
      <c r="A213" s="87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3"/>
    </row>
    <row r="214" spans="1:13" ht="15.75" customHeight="1">
      <c r="A214" s="87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3"/>
    </row>
    <row r="215" spans="1:13" ht="15.75" customHeight="1">
      <c r="A215" s="87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3"/>
    </row>
    <row r="216" spans="1:13" ht="15.75" customHeight="1">
      <c r="A216" s="87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3"/>
    </row>
    <row r="217" spans="1:13" ht="15.75" customHeight="1">
      <c r="A217" s="87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3"/>
    </row>
    <row r="218" spans="1:13" ht="15.75" customHeight="1">
      <c r="A218" s="87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3"/>
    </row>
    <row r="219" spans="1:13" ht="15.75" customHeight="1">
      <c r="A219" s="87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3"/>
    </row>
    <row r="220" spans="1:13" ht="15.75" customHeight="1">
      <c r="A220" s="87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3"/>
    </row>
    <row r="221" spans="1:13" ht="15.75" customHeight="1">
      <c r="A221" s="87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3"/>
    </row>
    <row r="222" spans="1:13" ht="15.75" customHeight="1">
      <c r="A222" s="87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3"/>
    </row>
    <row r="223" spans="1:13" ht="15.75" customHeight="1">
      <c r="A223" s="88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7"/>
    </row>
  </sheetData>
  <mergeCells count="2">
    <mergeCell ref="H17:H18"/>
    <mergeCell ref="I1:M1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Income Estimation</vt:lpstr>
      <vt:lpstr>Industry Stats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2023-04-28T17:28:01Z</dcterms:modified>
</cp:coreProperties>
</file>